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IMPRAGRI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<sst xmlns="http://schemas.openxmlformats.org/spreadsheetml/2006/main" count="219" uniqueCount="51">
  <si>
    <t>PROVINCE DELL'EMILIA-ROMAGNA E ITALIA.</t>
  </si>
  <si>
    <t>Flussi di iscrizioni e cessazioni nell'anno.</t>
  </si>
  <si>
    <t>Piacenza</t>
  </si>
  <si>
    <t>Parma</t>
  </si>
  <si>
    <t>Reggio Emilia</t>
  </si>
  <si>
    <t>Modena</t>
  </si>
  <si>
    <t>Bologna</t>
  </si>
  <si>
    <t>Ferrara</t>
  </si>
  <si>
    <t>Ravenna</t>
  </si>
  <si>
    <t>Forli'-Cesena</t>
  </si>
  <si>
    <t>Rimini</t>
  </si>
  <si>
    <t>Emilia-Romagna</t>
  </si>
  <si>
    <t>Italia</t>
  </si>
  <si>
    <t>Agricoltura, caccia e silvicoltura</t>
  </si>
  <si>
    <t>Totale</t>
  </si>
  <si>
    <t>Imprese agricole</t>
  </si>
  <si>
    <t>Coltivatori diretti</t>
  </si>
  <si>
    <t>Anni</t>
  </si>
  <si>
    <t>Regist.</t>
  </si>
  <si>
    <t>Iscritte</t>
  </si>
  <si>
    <t>Cessate</t>
  </si>
  <si>
    <t>Saldo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</si>
  <si>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</si>
  <si>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</si>
  <si>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</si>
  <si>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</si>
  <si>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</si>
  <si>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</si>
  <si>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</si>
  <si>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</si>
  <si>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</si>
  <si>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</si>
  <si>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</si>
  <si>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</si>
  <si>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</si>
  <si>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(a) In base al Codice Civile (collegando all'art. 2082 l'art. 2135) è imprenditore agricolo colui che (art. 2082) "esercita professionalmente un'attività economica organizzata" (art. 2135)</t>
  </si>
  <si>
    <t>diretta alla coltivazione del fondo, alla silvicoltura, all'allevamento del bestiame e attività connesse".</t>
  </si>
  <si>
    <t>La legge istitutiva del Registre delle Imprese (legge del 29.12.1993, n. 580) al comma 4 dell'art. 8</t>
  </si>
  <si>
    <t>ha previsto l'obbligo dell'iscrizione degli imprenditori agricoli nell'apposita sezione speciale.</t>
  </si>
  <si>
    <t>Il coltivatore diretto appartiene, per il Codice Civile, alla categoria dei piccoli imprenditori e può essere definito come colui che esercita l'attività di coltivazione</t>
  </si>
  <si>
    <t>del fondo, in modo professionale e organizzato (in tal senso è "imprenditore"), prevalentemente con il lavoro proprio</t>
  </si>
  <si>
    <t>e dei componenti la famiglia (in tal senso è un "piccolo imprenditore").</t>
  </si>
  <si>
    <t>Il regolamento di attuazione (DPR del 7 dicembre 1995 n. 581) nel definire le modalità di istituzione del Registro delle Imprese, ha</t>
  </si>
  <si>
    <t>espressamente indicato la collocazione dei coltivatori diretti nella sezione speciale dei piccoli imprenditori.</t>
  </si>
  <si>
    <t>(b) Ai fini di Movimprese si definisce registrata un'impresa presente in archivio e non cessata, indipendentemente dallo stato di attività assunto:</t>
  </si>
  <si>
    <t>attiva, inattiva, sospesa, in liquidazione, fallita.</t>
  </si>
  <si>
    <t>Fonte: Infocamere ("Movimprese").</t>
  </si>
  <si>
    <t>FILE: IMPRAGRI.XLS</t>
  </si>
  <si>
    <t>(1) Fino al 2003 è stata utilizzata la codifica Atecord91. Dal 2004 al 2009 quella Atecori-2002.</t>
  </si>
  <si>
    <t>IMPRESE REGISTRATE CON L'ATTRIBUTO DI IMPRENDITORE AGRICOLO NEL REGISTRO DELLE IMPRESE (1)(a)(b).</t>
  </si>
  <si>
    <t>PERIODO: al 31 dicembre 1997 - 2009.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</si>
</sst>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_)"/>
    <numFmt numFmtId="166" formatCode="#,##0_ ;[Red]\-#,##0\ "/>
  </numFmts>
  <fonts count="40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164" fontId="3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 locked="0"/>
    </xf>
    <xf numFmtId="165" fontId="3" fillId="0" borderId="11" xfId="0" applyNumberFormat="1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166" fontId="3" fillId="0" borderId="0" xfId="0" applyNumberFormat="1" applyFont="1" applyAlignment="1" applyProtection="1">
      <alignment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fill"/>
      <protection/>
    </xf>
    <xf numFmtId="165" fontId="3" fillId="0" borderId="0" xfId="0" applyNumberFormat="1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I42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15" sqref="B15"/>
    </sheetView>
  </sheetViews>
  <sheetFormatPr defaultColWidth="9.625" defaultRowHeight="12.75"/>
  <cols>
    <col min="1" max="1" width="6.625" style="2" customWidth="1"/>
    <col min="2" max="5" width="9.625" style="2" customWidth="1"/>
    <col min="6" max="6" width="0.875" style="2" customWidth="1"/>
    <col min="7" max="10" width="9.625" style="2" customWidth="1"/>
    <col min="11" max="11" width="0.875" style="2" customWidth="1"/>
    <col min="12" max="15" width="9.625" style="2" customWidth="1"/>
    <col min="16" max="16" width="0.875" style="2" customWidth="1"/>
    <col min="17" max="20" width="9.625" style="2" customWidth="1"/>
    <col min="21" max="21" width="0.875" style="2" customWidth="1"/>
    <col min="22" max="25" width="9.625" style="2" customWidth="1"/>
    <col min="26" max="26" width="0.875" style="2" customWidth="1"/>
    <col min="27" max="30" width="9.625" style="2" customWidth="1"/>
    <col min="31" max="31" width="0.875" style="2" customWidth="1"/>
    <col min="32" max="35" width="9.625" style="2" customWidth="1"/>
    <col min="36" max="36" width="0.875" style="2" customWidth="1"/>
    <col min="37" max="40" width="9.625" style="2" customWidth="1"/>
    <col min="41" max="41" width="0.875" style="2" customWidth="1"/>
    <col min="42" max="45" width="9.625" style="2" customWidth="1"/>
    <col min="46" max="46" width="0.875" style="2" customWidth="1"/>
    <col min="47" max="50" width="9.625" style="2" customWidth="1"/>
    <col min="51" max="51" width="0.875" style="2" customWidth="1"/>
    <col min="52" max="55" width="9.625" style="2" customWidth="1"/>
    <col min="56" max="56" width="0.875" style="2" customWidth="1"/>
    <col min="57" max="60" width="9.625" style="2" customWidth="1"/>
    <col min="61" max="61" width="0.875" style="2" customWidth="1"/>
    <col min="62" max="65" width="9.625" style="2" customWidth="1"/>
    <col min="66" max="66" width="0.875" style="2" customWidth="1"/>
    <col min="67" max="70" width="9.625" style="2" customWidth="1"/>
    <col min="71" max="71" width="0.875" style="2" customWidth="1"/>
    <col min="72" max="75" width="9.625" style="2" customWidth="1"/>
    <col min="76" max="76" width="0.875" style="2" customWidth="1"/>
    <col min="77" max="80" width="9.625" style="2" customWidth="1"/>
    <col min="81" max="81" width="0.875" style="2" customWidth="1"/>
    <col min="82" max="85" width="9.625" style="2" customWidth="1"/>
    <col min="86" max="86" width="0.875" style="2" customWidth="1"/>
    <col min="87" max="90" width="9.625" style="2" customWidth="1"/>
    <col min="91" max="91" width="0.875" style="2" customWidth="1"/>
    <col min="92" max="95" width="9.625" style="2" customWidth="1"/>
    <col min="96" max="96" width="0.875" style="2" customWidth="1"/>
    <col min="97" max="100" width="9.625" style="2" customWidth="1"/>
    <col min="101" max="101" width="0.875" style="2" customWidth="1"/>
    <col min="102" max="105" width="9.625" style="2" customWidth="1"/>
    <col min="106" max="106" width="0.875" style="2" customWidth="1"/>
    <col min="107" max="110" width="9.625" style="2" customWidth="1"/>
    <col min="111" max="111" width="0.875" style="2" customWidth="1"/>
    <col min="112" max="115" width="9.625" style="2" customWidth="1"/>
    <col min="116" max="116" width="0.875" style="2" customWidth="1"/>
    <col min="117" max="120" width="9.625" style="2" customWidth="1"/>
    <col min="121" max="121" width="0.875" style="2" customWidth="1"/>
    <col min="122" max="125" width="9.625" style="2" customWidth="1"/>
    <col min="126" max="126" width="0.875" style="2" customWidth="1"/>
    <col min="127" max="130" width="9.625" style="2" customWidth="1"/>
    <col min="131" max="131" width="0.875" style="2" customWidth="1"/>
    <col min="132" max="135" width="9.625" style="2" customWidth="1"/>
    <col min="136" max="136" width="0.875" style="2" customWidth="1"/>
    <col min="137" max="140" width="9.625" style="2" customWidth="1"/>
    <col min="141" max="141" width="0.875" style="2" customWidth="1"/>
    <col min="142" max="145" width="9.625" style="2" customWidth="1"/>
    <col min="146" max="146" width="0.875" style="2" customWidth="1"/>
    <col min="147" max="150" width="9.625" style="2" customWidth="1"/>
    <col min="151" max="151" width="0.875" style="2" customWidth="1"/>
    <col min="152" max="152" width="10.625" style="2" customWidth="1"/>
    <col min="153" max="155" width="9.625" style="2" customWidth="1"/>
    <col min="156" max="156" width="0.875" style="2" customWidth="1"/>
    <col min="157" max="160" width="9.625" style="2" customWidth="1"/>
    <col min="161" max="161" width="0.875" style="2" customWidth="1"/>
    <col min="162" max="16384" width="9.625" style="2" customWidth="1"/>
  </cols>
  <sheetData>
    <row r="1" ht="12">
      <c r="A1" s="1" t="s">
        <v>49</v>
      </c>
    </row>
    <row r="2" ht="12">
      <c r="A2" s="1" t="s">
        <v>0</v>
      </c>
    </row>
    <row r="3" ht="12">
      <c r="A3" s="1" t="s">
        <v>1</v>
      </c>
    </row>
    <row r="4" ht="12">
      <c r="A4" s="3" t="s">
        <v>50</v>
      </c>
    </row>
    <row r="5" ht="12.75" thickBot="1">
      <c r="A5" s="1" t="s">
        <v>47</v>
      </c>
    </row>
    <row r="6" spans="1:165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</row>
    <row r="7" spans="2:152" ht="12">
      <c r="B7" s="11" t="s">
        <v>2</v>
      </c>
      <c r="Q7" s="11" t="s">
        <v>3</v>
      </c>
      <c r="AF7" s="11" t="s">
        <v>4</v>
      </c>
      <c r="AU7" s="11" t="s">
        <v>5</v>
      </c>
      <c r="BJ7" s="11" t="s">
        <v>6</v>
      </c>
      <c r="BY7" s="11" t="s">
        <v>7</v>
      </c>
      <c r="CN7" s="11" t="s">
        <v>8</v>
      </c>
      <c r="DC7" s="11" t="s">
        <v>9</v>
      </c>
      <c r="DR7" s="11" t="s">
        <v>10</v>
      </c>
      <c r="EG7" s="11" t="s">
        <v>11</v>
      </c>
      <c r="EV7" s="11" t="s">
        <v>12</v>
      </c>
    </row>
    <row r="8" spans="2:165" ht="1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4"/>
      <c r="BI8" s="1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  <c r="BX8" s="1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4"/>
      <c r="CM8" s="1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  <c r="DB8" s="1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4"/>
      <c r="DQ8" s="1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4"/>
      <c r="EF8" s="1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4"/>
      <c r="EU8" s="1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4"/>
    </row>
    <row r="9" spans="2:152" ht="12">
      <c r="B9" s="1" t="s">
        <v>13</v>
      </c>
      <c r="Q9" s="1" t="s">
        <v>13</v>
      </c>
      <c r="AF9" s="1" t="s">
        <v>13</v>
      </c>
      <c r="AU9" s="1" t="s">
        <v>13</v>
      </c>
      <c r="BJ9" s="1" t="s">
        <v>13</v>
      </c>
      <c r="BY9" s="1" t="s">
        <v>13</v>
      </c>
      <c r="CN9" s="1" t="s">
        <v>13</v>
      </c>
      <c r="DC9" s="1" t="s">
        <v>13</v>
      </c>
      <c r="DR9" s="1" t="s">
        <v>13</v>
      </c>
      <c r="EG9" s="1" t="s">
        <v>13</v>
      </c>
      <c r="EV9" s="1" t="s">
        <v>13</v>
      </c>
    </row>
    <row r="10" spans="2:165" ht="1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5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5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5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5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5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5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5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5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</row>
    <row r="11" spans="2:162" ht="12">
      <c r="B11" s="1" t="s">
        <v>14</v>
      </c>
      <c r="G11" s="1" t="s">
        <v>15</v>
      </c>
      <c r="L11" s="1" t="s">
        <v>16</v>
      </c>
      <c r="Q11" s="1" t="s">
        <v>14</v>
      </c>
      <c r="V11" s="1" t="s">
        <v>15</v>
      </c>
      <c r="AA11" s="1" t="s">
        <v>16</v>
      </c>
      <c r="AF11" s="1" t="s">
        <v>14</v>
      </c>
      <c r="AK11" s="1" t="s">
        <v>15</v>
      </c>
      <c r="AP11" s="1" t="s">
        <v>16</v>
      </c>
      <c r="AU11" s="1" t="s">
        <v>14</v>
      </c>
      <c r="AZ11" s="1" t="s">
        <v>15</v>
      </c>
      <c r="BE11" s="1" t="s">
        <v>16</v>
      </c>
      <c r="BJ11" s="1" t="s">
        <v>14</v>
      </c>
      <c r="BO11" s="1" t="s">
        <v>15</v>
      </c>
      <c r="BT11" s="1" t="s">
        <v>16</v>
      </c>
      <c r="BY11" s="1" t="s">
        <v>14</v>
      </c>
      <c r="CD11" s="1" t="s">
        <v>15</v>
      </c>
      <c r="CI11" s="1" t="s">
        <v>16</v>
      </c>
      <c r="CN11" s="1" t="s">
        <v>14</v>
      </c>
      <c r="CS11" s="1" t="s">
        <v>15</v>
      </c>
      <c r="CX11" s="1" t="s">
        <v>16</v>
      </c>
      <c r="DC11" s="1" t="s">
        <v>14</v>
      </c>
      <c r="DH11" s="1" t="s">
        <v>15</v>
      </c>
      <c r="DM11" s="1" t="s">
        <v>16</v>
      </c>
      <c r="DR11" s="1" t="s">
        <v>14</v>
      </c>
      <c r="DW11" s="1" t="s">
        <v>15</v>
      </c>
      <c r="EB11" s="1" t="s">
        <v>16</v>
      </c>
      <c r="EG11" s="1" t="s">
        <v>14</v>
      </c>
      <c r="EL11" s="1" t="s">
        <v>15</v>
      </c>
      <c r="EQ11" s="1" t="s">
        <v>16</v>
      </c>
      <c r="EV11" s="1" t="s">
        <v>14</v>
      </c>
      <c r="FA11" s="1" t="s">
        <v>15</v>
      </c>
      <c r="FF11" s="1" t="s">
        <v>16</v>
      </c>
    </row>
    <row r="12" spans="2:165" ht="12">
      <c r="B12" s="13"/>
      <c r="C12" s="13"/>
      <c r="D12" s="13"/>
      <c r="E12" s="14"/>
      <c r="F12" s="1"/>
      <c r="G12" s="13"/>
      <c r="H12" s="13"/>
      <c r="I12" s="13"/>
      <c r="J12" s="14"/>
      <c r="K12" s="1"/>
      <c r="L12" s="13"/>
      <c r="M12" s="13"/>
      <c r="N12" s="13"/>
      <c r="O12" s="14"/>
      <c r="P12" s="1"/>
      <c r="Q12" s="13"/>
      <c r="R12" s="13"/>
      <c r="S12" s="13"/>
      <c r="T12" s="14"/>
      <c r="U12" s="1"/>
      <c r="V12" s="13"/>
      <c r="W12" s="13"/>
      <c r="X12" s="13"/>
      <c r="Y12" s="14"/>
      <c r="Z12" s="1"/>
      <c r="AA12" s="13"/>
      <c r="AB12" s="13"/>
      <c r="AC12" s="13"/>
      <c r="AD12" s="14"/>
      <c r="AE12" s="1"/>
      <c r="AF12" s="13"/>
      <c r="AG12" s="13"/>
      <c r="AH12" s="13"/>
      <c r="AI12" s="14"/>
      <c r="AJ12" s="1"/>
      <c r="AK12" s="13"/>
      <c r="AL12" s="13"/>
      <c r="AM12" s="13"/>
      <c r="AN12" s="14"/>
      <c r="AO12" s="1"/>
      <c r="AP12" s="13"/>
      <c r="AQ12" s="13"/>
      <c r="AR12" s="13"/>
      <c r="AS12" s="14"/>
      <c r="AT12" s="1"/>
      <c r="AU12" s="13"/>
      <c r="AV12" s="13"/>
      <c r="AW12" s="13"/>
      <c r="AX12" s="14"/>
      <c r="AY12" s="1"/>
      <c r="AZ12" s="13"/>
      <c r="BA12" s="13"/>
      <c r="BB12" s="13"/>
      <c r="BC12" s="14"/>
      <c r="BD12" s="1"/>
      <c r="BE12" s="13"/>
      <c r="BF12" s="13"/>
      <c r="BG12" s="13"/>
      <c r="BH12" s="14"/>
      <c r="BI12" s="1"/>
      <c r="BJ12" s="13"/>
      <c r="BK12" s="13"/>
      <c r="BL12" s="13"/>
      <c r="BM12" s="14"/>
      <c r="BN12" s="1"/>
      <c r="BO12" s="13"/>
      <c r="BP12" s="13"/>
      <c r="BQ12" s="13"/>
      <c r="BR12" s="14"/>
      <c r="BS12" s="1"/>
      <c r="BT12" s="13"/>
      <c r="BU12" s="13"/>
      <c r="BV12" s="13"/>
      <c r="BW12" s="14"/>
      <c r="BX12" s="1"/>
      <c r="BY12" s="13"/>
      <c r="BZ12" s="13"/>
      <c r="CA12" s="13"/>
      <c r="CB12" s="14"/>
      <c r="CC12" s="1"/>
      <c r="CD12" s="13"/>
      <c r="CE12" s="13"/>
      <c r="CF12" s="13"/>
      <c r="CG12" s="14"/>
      <c r="CH12" s="1"/>
      <c r="CI12" s="13"/>
      <c r="CJ12" s="13"/>
      <c r="CK12" s="13"/>
      <c r="CL12" s="14"/>
      <c r="CM12" s="1"/>
      <c r="CN12" s="13"/>
      <c r="CO12" s="13"/>
      <c r="CP12" s="13"/>
      <c r="CQ12" s="14"/>
      <c r="CR12" s="1"/>
      <c r="CS12" s="13"/>
      <c r="CT12" s="13"/>
      <c r="CU12" s="13"/>
      <c r="CV12" s="14"/>
      <c r="CW12" s="1"/>
      <c r="CX12" s="13"/>
      <c r="CY12" s="13"/>
      <c r="CZ12" s="13"/>
      <c r="DA12" s="14"/>
      <c r="DB12" s="1"/>
      <c r="DC12" s="13"/>
      <c r="DD12" s="13"/>
      <c r="DE12" s="13"/>
      <c r="DF12" s="14"/>
      <c r="DG12" s="1"/>
      <c r="DH12" s="13"/>
      <c r="DI12" s="13"/>
      <c r="DJ12" s="13"/>
      <c r="DK12" s="14"/>
      <c r="DL12" s="1"/>
      <c r="DM12" s="13"/>
      <c r="DN12" s="13"/>
      <c r="DO12" s="13"/>
      <c r="DP12" s="14"/>
      <c r="DQ12" s="1"/>
      <c r="DR12" s="13"/>
      <c r="DS12" s="13"/>
      <c r="DT12" s="13"/>
      <c r="DU12" s="14"/>
      <c r="DV12" s="1"/>
      <c r="DW12" s="13"/>
      <c r="DX12" s="13"/>
      <c r="DY12" s="13"/>
      <c r="DZ12" s="14"/>
      <c r="EA12" s="1"/>
      <c r="EB12" s="13"/>
      <c r="EC12" s="13"/>
      <c r="ED12" s="13"/>
      <c r="EE12" s="14"/>
      <c r="EF12" s="1"/>
      <c r="EG12" s="13"/>
      <c r="EH12" s="13"/>
      <c r="EI12" s="13"/>
      <c r="EJ12" s="14"/>
      <c r="EK12" s="1"/>
      <c r="EL12" s="13"/>
      <c r="EM12" s="13"/>
      <c r="EN12" s="13"/>
      <c r="EO12" s="14"/>
      <c r="EP12" s="1"/>
      <c r="EQ12" s="13"/>
      <c r="ER12" s="13"/>
      <c r="ES12" s="13"/>
      <c r="ET12" s="14"/>
      <c r="EU12" s="1"/>
      <c r="EV12" s="13"/>
      <c r="EW12" s="13"/>
      <c r="EX12" s="13"/>
      <c r="EY12" s="14"/>
      <c r="EZ12" s="1"/>
      <c r="FA12" s="13"/>
      <c r="FB12" s="13"/>
      <c r="FC12" s="13"/>
      <c r="FD12" s="14"/>
      <c r="FE12" s="1"/>
      <c r="FF12" s="13"/>
      <c r="FG12" s="13"/>
      <c r="FH12" s="13"/>
      <c r="FI12" s="14"/>
    </row>
    <row r="13" spans="1:165" ht="12">
      <c r="A13" s="6" t="s">
        <v>17</v>
      </c>
      <c r="B13" s="1" t="s">
        <v>18</v>
      </c>
      <c r="C13" s="1" t="s">
        <v>19</v>
      </c>
      <c r="D13" s="1" t="s">
        <v>20</v>
      </c>
      <c r="E13" s="1" t="s">
        <v>21</v>
      </c>
      <c r="F13" s="1"/>
      <c r="G13" s="1" t="s">
        <v>18</v>
      </c>
      <c r="H13" s="1" t="s">
        <v>19</v>
      </c>
      <c r="I13" s="1" t="s">
        <v>20</v>
      </c>
      <c r="J13" s="1" t="s">
        <v>21</v>
      </c>
      <c r="K13" s="1"/>
      <c r="L13" s="1" t="s">
        <v>18</v>
      </c>
      <c r="M13" s="1" t="s">
        <v>19</v>
      </c>
      <c r="N13" s="1" t="s">
        <v>20</v>
      </c>
      <c r="O13" s="1" t="s">
        <v>21</v>
      </c>
      <c r="P13" s="1"/>
      <c r="Q13" s="1" t="s">
        <v>18</v>
      </c>
      <c r="R13" s="1" t="s">
        <v>19</v>
      </c>
      <c r="S13" s="1" t="s">
        <v>20</v>
      </c>
      <c r="T13" s="1" t="s">
        <v>21</v>
      </c>
      <c r="U13" s="1"/>
      <c r="V13" s="1" t="s">
        <v>18</v>
      </c>
      <c r="W13" s="1" t="s">
        <v>19</v>
      </c>
      <c r="X13" s="1" t="s">
        <v>20</v>
      </c>
      <c r="Y13" s="1" t="s">
        <v>21</v>
      </c>
      <c r="Z13" s="1"/>
      <c r="AA13" s="1" t="s">
        <v>18</v>
      </c>
      <c r="AB13" s="1" t="s">
        <v>19</v>
      </c>
      <c r="AC13" s="1" t="s">
        <v>20</v>
      </c>
      <c r="AD13" s="1" t="s">
        <v>21</v>
      </c>
      <c r="AE13" s="1"/>
      <c r="AF13" s="1" t="s">
        <v>18</v>
      </c>
      <c r="AG13" s="1" t="s">
        <v>19</v>
      </c>
      <c r="AH13" s="1" t="s">
        <v>20</v>
      </c>
      <c r="AI13" s="1" t="s">
        <v>21</v>
      </c>
      <c r="AJ13" s="1"/>
      <c r="AK13" s="1" t="s">
        <v>18</v>
      </c>
      <c r="AL13" s="1" t="s">
        <v>19</v>
      </c>
      <c r="AM13" s="1" t="s">
        <v>20</v>
      </c>
      <c r="AN13" s="1" t="s">
        <v>21</v>
      </c>
      <c r="AO13" s="1"/>
      <c r="AP13" s="1" t="s">
        <v>18</v>
      </c>
      <c r="AQ13" s="1" t="s">
        <v>19</v>
      </c>
      <c r="AR13" s="1" t="s">
        <v>20</v>
      </c>
      <c r="AS13" s="1" t="s">
        <v>21</v>
      </c>
      <c r="AT13" s="1"/>
      <c r="AU13" s="1" t="s">
        <v>18</v>
      </c>
      <c r="AV13" s="1" t="s">
        <v>19</v>
      </c>
      <c r="AW13" s="1" t="s">
        <v>20</v>
      </c>
      <c r="AX13" s="1" t="s">
        <v>21</v>
      </c>
      <c r="AY13" s="1"/>
      <c r="AZ13" s="1" t="s">
        <v>18</v>
      </c>
      <c r="BA13" s="1" t="s">
        <v>19</v>
      </c>
      <c r="BB13" s="1" t="s">
        <v>20</v>
      </c>
      <c r="BC13" s="1" t="s">
        <v>21</v>
      </c>
      <c r="BD13" s="1"/>
      <c r="BE13" s="1" t="s">
        <v>18</v>
      </c>
      <c r="BF13" s="1" t="s">
        <v>19</v>
      </c>
      <c r="BG13" s="1" t="s">
        <v>20</v>
      </c>
      <c r="BH13" s="1" t="s">
        <v>21</v>
      </c>
      <c r="BI13" s="1"/>
      <c r="BJ13" s="1" t="s">
        <v>18</v>
      </c>
      <c r="BK13" s="1" t="s">
        <v>19</v>
      </c>
      <c r="BL13" s="1" t="s">
        <v>20</v>
      </c>
      <c r="BM13" s="1" t="s">
        <v>21</v>
      </c>
      <c r="BN13" s="1"/>
      <c r="BO13" s="1" t="s">
        <v>18</v>
      </c>
      <c r="BP13" s="1" t="s">
        <v>19</v>
      </c>
      <c r="BQ13" s="1" t="s">
        <v>20</v>
      </c>
      <c r="BR13" s="1" t="s">
        <v>21</v>
      </c>
      <c r="BS13" s="1"/>
      <c r="BT13" s="1" t="s">
        <v>18</v>
      </c>
      <c r="BU13" s="1" t="s">
        <v>19</v>
      </c>
      <c r="BV13" s="1" t="s">
        <v>20</v>
      </c>
      <c r="BW13" s="1" t="s">
        <v>21</v>
      </c>
      <c r="BX13" s="1"/>
      <c r="BY13" s="1" t="s">
        <v>18</v>
      </c>
      <c r="BZ13" s="1" t="s">
        <v>19</v>
      </c>
      <c r="CA13" s="1" t="s">
        <v>20</v>
      </c>
      <c r="CB13" s="1" t="s">
        <v>21</v>
      </c>
      <c r="CC13" s="1"/>
      <c r="CD13" s="1" t="s">
        <v>18</v>
      </c>
      <c r="CE13" s="1" t="s">
        <v>19</v>
      </c>
      <c r="CF13" s="1" t="s">
        <v>20</v>
      </c>
      <c r="CG13" s="1" t="s">
        <v>21</v>
      </c>
      <c r="CH13" s="1"/>
      <c r="CI13" s="1" t="s">
        <v>18</v>
      </c>
      <c r="CJ13" s="1" t="s">
        <v>19</v>
      </c>
      <c r="CK13" s="1" t="s">
        <v>20</v>
      </c>
      <c r="CL13" s="1" t="s">
        <v>21</v>
      </c>
      <c r="CM13" s="1"/>
      <c r="CN13" s="1" t="s">
        <v>18</v>
      </c>
      <c r="CO13" s="1" t="s">
        <v>19</v>
      </c>
      <c r="CP13" s="1" t="s">
        <v>20</v>
      </c>
      <c r="CQ13" s="1" t="s">
        <v>21</v>
      </c>
      <c r="CR13" s="1"/>
      <c r="CS13" s="1" t="s">
        <v>18</v>
      </c>
      <c r="CT13" s="1" t="s">
        <v>19</v>
      </c>
      <c r="CU13" s="1" t="s">
        <v>20</v>
      </c>
      <c r="CV13" s="1" t="s">
        <v>21</v>
      </c>
      <c r="CW13" s="1"/>
      <c r="CX13" s="1" t="s">
        <v>18</v>
      </c>
      <c r="CY13" s="1" t="s">
        <v>19</v>
      </c>
      <c r="CZ13" s="1" t="s">
        <v>20</v>
      </c>
      <c r="DA13" s="1" t="s">
        <v>21</v>
      </c>
      <c r="DB13" s="1"/>
      <c r="DC13" s="1" t="s">
        <v>18</v>
      </c>
      <c r="DD13" s="1" t="s">
        <v>19</v>
      </c>
      <c r="DE13" s="1" t="s">
        <v>20</v>
      </c>
      <c r="DF13" s="1" t="s">
        <v>21</v>
      </c>
      <c r="DG13" s="1"/>
      <c r="DH13" s="1" t="s">
        <v>18</v>
      </c>
      <c r="DI13" s="1" t="s">
        <v>19</v>
      </c>
      <c r="DJ13" s="1" t="s">
        <v>20</v>
      </c>
      <c r="DK13" s="1" t="s">
        <v>21</v>
      </c>
      <c r="DL13" s="1"/>
      <c r="DM13" s="1" t="s">
        <v>18</v>
      </c>
      <c r="DN13" s="1" t="s">
        <v>19</v>
      </c>
      <c r="DO13" s="1" t="s">
        <v>20</v>
      </c>
      <c r="DP13" s="1" t="s">
        <v>21</v>
      </c>
      <c r="DQ13" s="1"/>
      <c r="DR13" s="1" t="s">
        <v>18</v>
      </c>
      <c r="DS13" s="1" t="s">
        <v>19</v>
      </c>
      <c r="DT13" s="1" t="s">
        <v>20</v>
      </c>
      <c r="DU13" s="1" t="s">
        <v>21</v>
      </c>
      <c r="DV13" s="1"/>
      <c r="DW13" s="1" t="s">
        <v>18</v>
      </c>
      <c r="DX13" s="1" t="s">
        <v>19</v>
      </c>
      <c r="DY13" s="1" t="s">
        <v>20</v>
      </c>
      <c r="DZ13" s="1" t="s">
        <v>21</v>
      </c>
      <c r="EA13" s="1"/>
      <c r="EB13" s="1" t="s">
        <v>18</v>
      </c>
      <c r="EC13" s="1" t="s">
        <v>19</v>
      </c>
      <c r="ED13" s="1" t="s">
        <v>20</v>
      </c>
      <c r="EE13" s="1" t="s">
        <v>21</v>
      </c>
      <c r="EF13" s="1"/>
      <c r="EG13" s="1" t="s">
        <v>18</v>
      </c>
      <c r="EH13" s="1" t="s">
        <v>19</v>
      </c>
      <c r="EI13" s="1" t="s">
        <v>20</v>
      </c>
      <c r="EJ13" s="1" t="s">
        <v>21</v>
      </c>
      <c r="EK13" s="1"/>
      <c r="EL13" s="1" t="s">
        <v>18</v>
      </c>
      <c r="EM13" s="1" t="s">
        <v>19</v>
      </c>
      <c r="EN13" s="1" t="s">
        <v>20</v>
      </c>
      <c r="EO13" s="1" t="s">
        <v>21</v>
      </c>
      <c r="EP13" s="1"/>
      <c r="EQ13" s="1" t="s">
        <v>18</v>
      </c>
      <c r="ER13" s="1" t="s">
        <v>19</v>
      </c>
      <c r="ES13" s="1" t="s">
        <v>20</v>
      </c>
      <c r="ET13" s="1" t="s">
        <v>21</v>
      </c>
      <c r="EU13" s="1"/>
      <c r="EV13" s="1" t="s">
        <v>18</v>
      </c>
      <c r="EW13" s="1" t="s">
        <v>19</v>
      </c>
      <c r="EX13" s="1" t="s">
        <v>20</v>
      </c>
      <c r="EY13" s="1" t="s">
        <v>21</v>
      </c>
      <c r="EZ13" s="1"/>
      <c r="FA13" s="1" t="s">
        <v>18</v>
      </c>
      <c r="FB13" s="1" t="s">
        <v>19</v>
      </c>
      <c r="FC13" s="1" t="s">
        <v>20</v>
      </c>
      <c r="FD13" s="1" t="s">
        <v>21</v>
      </c>
      <c r="FE13" s="1"/>
      <c r="FF13" s="1" t="s">
        <v>18</v>
      </c>
      <c r="FG13" s="1" t="s">
        <v>19</v>
      </c>
      <c r="FH13" s="1" t="s">
        <v>20</v>
      </c>
      <c r="FI13" s="1" t="s">
        <v>21</v>
      </c>
    </row>
    <row r="14" spans="1:165" ht="12.75" thickBo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</row>
    <row r="15" spans="1:165" ht="12">
      <c r="A15" s="1" t="s">
        <v>22</v>
      </c>
      <c r="B15" s="8">
        <f aca="true" t="shared" si="0" ref="B15:B27">G15+L15</f>
        <v>7959</v>
      </c>
      <c r="C15" s="8">
        <f aca="true" t="shared" si="1" ref="C15:C27">H15+M15</f>
        <v>7805</v>
      </c>
      <c r="D15" s="8">
        <f aca="true" t="shared" si="2" ref="D15:D27">I15+N15</f>
        <v>764</v>
      </c>
      <c r="E15" s="12">
        <f aca="true" t="shared" si="3" ref="E15:E27">C15-D15</f>
        <v>7041</v>
      </c>
      <c r="F15" s="12"/>
      <c r="G15" s="9">
        <v>2563</v>
      </c>
      <c r="H15" s="9">
        <v>2201</v>
      </c>
      <c r="I15" s="9">
        <v>213</v>
      </c>
      <c r="J15" s="12">
        <f aca="true" t="shared" si="4" ref="J15:J27">H15-I15</f>
        <v>1988</v>
      </c>
      <c r="K15" s="12"/>
      <c r="L15" s="9">
        <v>5396</v>
      </c>
      <c r="M15" s="9">
        <v>5604</v>
      </c>
      <c r="N15" s="9">
        <v>551</v>
      </c>
      <c r="O15" s="12">
        <f aca="true" t="shared" si="5" ref="O15:O27">M15-N15</f>
        <v>5053</v>
      </c>
      <c r="P15" s="12"/>
      <c r="Q15" s="8">
        <f aca="true" t="shared" si="6" ref="Q15:Q27">V15+AA15</f>
        <v>8705</v>
      </c>
      <c r="R15" s="8">
        <f aca="true" t="shared" si="7" ref="R15:R27">W15+AB15</f>
        <v>8374</v>
      </c>
      <c r="S15" s="8">
        <f aca="true" t="shared" si="8" ref="S15:S27">X15+AC15</f>
        <v>1112</v>
      </c>
      <c r="T15" s="12">
        <f aca="true" t="shared" si="9" ref="T15:T27">R15-S15</f>
        <v>7262</v>
      </c>
      <c r="U15" s="12"/>
      <c r="V15" s="9">
        <v>2195</v>
      </c>
      <c r="W15" s="9">
        <v>1602</v>
      </c>
      <c r="X15" s="9">
        <v>248</v>
      </c>
      <c r="Y15" s="12">
        <f aca="true" t="shared" si="10" ref="Y15:Y27">W15-X15</f>
        <v>1354</v>
      </c>
      <c r="Z15" s="12"/>
      <c r="AA15" s="9">
        <v>6510</v>
      </c>
      <c r="AB15" s="9">
        <v>6772</v>
      </c>
      <c r="AC15" s="9">
        <v>864</v>
      </c>
      <c r="AD15" s="12">
        <f aca="true" t="shared" si="11" ref="AD15:AD27">AB15-AC15</f>
        <v>5908</v>
      </c>
      <c r="AE15" s="12"/>
      <c r="AF15" s="8">
        <f aca="true" t="shared" si="12" ref="AF15:AF27">AK15+AP15</f>
        <v>10772</v>
      </c>
      <c r="AG15" s="8">
        <f aca="true" t="shared" si="13" ref="AG15:AG27">AL15+AQ15</f>
        <v>9534</v>
      </c>
      <c r="AH15" s="8">
        <f aca="true" t="shared" si="14" ref="AH15:AH27">AM15+AR15</f>
        <v>386</v>
      </c>
      <c r="AI15" s="12">
        <f aca="true" t="shared" si="15" ref="AI15:AI27">AG15-AH15</f>
        <v>9148</v>
      </c>
      <c r="AJ15" s="12"/>
      <c r="AK15" s="9">
        <v>3532</v>
      </c>
      <c r="AL15" s="9">
        <v>2553</v>
      </c>
      <c r="AM15" s="9">
        <v>160</v>
      </c>
      <c r="AN15" s="12">
        <f aca="true" t="shared" si="16" ref="AN15:AN27">AL15-AM15</f>
        <v>2393</v>
      </c>
      <c r="AO15" s="12"/>
      <c r="AP15" s="9">
        <v>7240</v>
      </c>
      <c r="AQ15" s="9">
        <v>6981</v>
      </c>
      <c r="AR15" s="9">
        <v>226</v>
      </c>
      <c r="AS15" s="12">
        <f aca="true" t="shared" si="17" ref="AS15:AS27">AQ15-AR15</f>
        <v>6755</v>
      </c>
      <c r="AT15" s="12"/>
      <c r="AU15" s="8">
        <f aca="true" t="shared" si="18" ref="AU15:AU27">AZ15+BE15</f>
        <v>13740</v>
      </c>
      <c r="AV15" s="8">
        <f aca="true" t="shared" si="19" ref="AV15:AV27">BA15+BF15</f>
        <v>13150</v>
      </c>
      <c r="AW15" s="8">
        <f aca="true" t="shared" si="20" ref="AW15:AW27">BB15+BG15</f>
        <v>926</v>
      </c>
      <c r="AX15" s="12">
        <f aca="true" t="shared" si="21" ref="AX15:AX27">AV15-AW15</f>
        <v>12224</v>
      </c>
      <c r="AY15" s="12"/>
      <c r="AZ15" s="9">
        <v>4778</v>
      </c>
      <c r="BA15" s="9">
        <v>3967</v>
      </c>
      <c r="BB15" s="9">
        <v>321</v>
      </c>
      <c r="BC15" s="12">
        <f aca="true" t="shared" si="22" ref="BC15:BC27">BA15-BB15</f>
        <v>3646</v>
      </c>
      <c r="BD15" s="12"/>
      <c r="BE15" s="9">
        <v>8962</v>
      </c>
      <c r="BF15" s="9">
        <v>9183</v>
      </c>
      <c r="BG15" s="9">
        <v>605</v>
      </c>
      <c r="BH15" s="12">
        <f aca="true" t="shared" si="23" ref="BH15:BH27">BF15-BG15</f>
        <v>8578</v>
      </c>
      <c r="BI15" s="12"/>
      <c r="BJ15" s="8">
        <f aca="true" t="shared" si="24" ref="BJ15:BJ27">BO15+BT15</f>
        <v>15042</v>
      </c>
      <c r="BK15" s="8">
        <f aca="true" t="shared" si="25" ref="BK15:BK27">BP15+BU15</f>
        <v>13802</v>
      </c>
      <c r="BL15" s="8">
        <f aca="true" t="shared" si="26" ref="BL15:BL27">BQ15+BV15</f>
        <v>1185</v>
      </c>
      <c r="BM15" s="12">
        <f aca="true" t="shared" si="27" ref="BM15:BM27">BK15-BL15</f>
        <v>12617</v>
      </c>
      <c r="BN15" s="12"/>
      <c r="BO15" s="9">
        <v>2605</v>
      </c>
      <c r="BP15" s="9">
        <v>1375</v>
      </c>
      <c r="BQ15" s="9">
        <v>213</v>
      </c>
      <c r="BR15" s="12">
        <f aca="true" t="shared" si="28" ref="BR15:BR27">BP15-BQ15</f>
        <v>1162</v>
      </c>
      <c r="BS15" s="12"/>
      <c r="BT15" s="9">
        <v>12437</v>
      </c>
      <c r="BU15" s="9">
        <v>12427</v>
      </c>
      <c r="BV15" s="9">
        <v>972</v>
      </c>
      <c r="BW15" s="12">
        <f aca="true" t="shared" si="29" ref="BW15:BW27">BU15-BV15</f>
        <v>11455</v>
      </c>
      <c r="BX15" s="12"/>
      <c r="BY15" s="8">
        <f aca="true" t="shared" si="30" ref="BY15:BY27">CD15+CI15</f>
        <v>11925</v>
      </c>
      <c r="BZ15" s="8">
        <f aca="true" t="shared" si="31" ref="BZ15:BZ27">CE15+CJ15</f>
        <v>11107</v>
      </c>
      <c r="CA15" s="8">
        <f aca="true" t="shared" si="32" ref="CA15:CA27">CF15+CK15</f>
        <v>731</v>
      </c>
      <c r="CB15" s="12">
        <f aca="true" t="shared" si="33" ref="CB15:CB27">BZ15-CA15</f>
        <v>10376</v>
      </c>
      <c r="CC15" s="12"/>
      <c r="CD15" s="9">
        <v>5655</v>
      </c>
      <c r="CE15" s="9">
        <v>4988</v>
      </c>
      <c r="CF15" s="9">
        <v>453</v>
      </c>
      <c r="CG15" s="12">
        <f aca="true" t="shared" si="34" ref="CG15:CG27">CE15-CF15</f>
        <v>4535</v>
      </c>
      <c r="CH15" s="12"/>
      <c r="CI15" s="9">
        <v>6270</v>
      </c>
      <c r="CJ15" s="9">
        <v>6119</v>
      </c>
      <c r="CK15" s="9">
        <v>278</v>
      </c>
      <c r="CL15" s="12">
        <f aca="true" t="shared" si="35" ref="CL15:CL27">CJ15-CK15</f>
        <v>5841</v>
      </c>
      <c r="CM15" s="12"/>
      <c r="CN15" s="8">
        <f aca="true" t="shared" si="36" ref="CN15:CN27">CS15+CX15</f>
        <v>13178</v>
      </c>
      <c r="CO15" s="8">
        <f aca="true" t="shared" si="37" ref="CO15:CO27">CT15+CY15</f>
        <v>12602</v>
      </c>
      <c r="CP15" s="8">
        <f aca="true" t="shared" si="38" ref="CP15:CP27">CU15+CZ15</f>
        <v>1054</v>
      </c>
      <c r="CQ15" s="12">
        <f aca="true" t="shared" si="39" ref="CQ15:CQ27">CO15-CP15</f>
        <v>11548</v>
      </c>
      <c r="CR15" s="12"/>
      <c r="CS15" s="9">
        <v>3722</v>
      </c>
      <c r="CT15" s="9">
        <v>2965</v>
      </c>
      <c r="CU15" s="9">
        <v>276</v>
      </c>
      <c r="CV15" s="12">
        <f aca="true" t="shared" si="40" ref="CV15:CV27">CT15-CU15</f>
        <v>2689</v>
      </c>
      <c r="CW15" s="12"/>
      <c r="CX15" s="9">
        <v>9456</v>
      </c>
      <c r="CY15" s="9">
        <v>9637</v>
      </c>
      <c r="CZ15" s="9">
        <v>778</v>
      </c>
      <c r="DA15" s="12">
        <f aca="true" t="shared" si="41" ref="DA15:DA27">CY15-CZ15</f>
        <v>8859</v>
      </c>
      <c r="DB15" s="12"/>
      <c r="DC15" s="8">
        <f aca="true" t="shared" si="42" ref="DC15:DC27">DH15+DM15</f>
        <v>12960</v>
      </c>
      <c r="DD15" s="8">
        <f aca="true" t="shared" si="43" ref="DD15:DD27">DI15+DN15</f>
        <v>12184</v>
      </c>
      <c r="DE15" s="8">
        <f aca="true" t="shared" si="44" ref="DE15:DE27">DJ15+DO15</f>
        <v>788</v>
      </c>
      <c r="DF15" s="12">
        <f aca="true" t="shared" si="45" ref="DF15:DF27">DD15-DE15</f>
        <v>11396</v>
      </c>
      <c r="DG15" s="12"/>
      <c r="DH15" s="9">
        <v>2125</v>
      </c>
      <c r="DI15" s="9">
        <v>1302</v>
      </c>
      <c r="DJ15" s="9">
        <v>171</v>
      </c>
      <c r="DK15" s="12">
        <f aca="true" t="shared" si="46" ref="DK15:DK27">DI15-DJ15</f>
        <v>1131</v>
      </c>
      <c r="DL15" s="12"/>
      <c r="DM15" s="9">
        <v>10835</v>
      </c>
      <c r="DN15" s="9">
        <v>10882</v>
      </c>
      <c r="DO15" s="9">
        <v>617</v>
      </c>
      <c r="DP15" s="12">
        <f aca="true" t="shared" si="47" ref="DP15:DP27">DN15-DO15</f>
        <v>10265</v>
      </c>
      <c r="DQ15" s="12"/>
      <c r="DR15" s="8">
        <f aca="true" t="shared" si="48" ref="DR15:DR27">DW15+EB15</f>
        <v>4565</v>
      </c>
      <c r="DS15" s="8">
        <f aca="true" t="shared" si="49" ref="DS15:DS27">DX15+EC15</f>
        <v>4421</v>
      </c>
      <c r="DT15" s="8">
        <f aca="true" t="shared" si="50" ref="DT15:DT27">DY15+ED15</f>
        <v>360</v>
      </c>
      <c r="DU15" s="12">
        <f aca="true" t="shared" si="51" ref="DU15:DU27">DS15-DT15</f>
        <v>4061</v>
      </c>
      <c r="DV15" s="12"/>
      <c r="DW15" s="9">
        <v>1704</v>
      </c>
      <c r="DX15" s="9">
        <v>1553</v>
      </c>
      <c r="DY15" s="9">
        <v>157</v>
      </c>
      <c r="DZ15" s="12">
        <f aca="true" t="shared" si="52" ref="DZ15:DZ27">DX15-DY15</f>
        <v>1396</v>
      </c>
      <c r="EA15" s="12"/>
      <c r="EB15" s="9">
        <v>2861</v>
      </c>
      <c r="EC15" s="9">
        <v>2868</v>
      </c>
      <c r="ED15" s="9">
        <v>203</v>
      </c>
      <c r="EE15" s="12">
        <f aca="true" t="shared" si="53" ref="EE15:EE27">EC15-ED15</f>
        <v>2665</v>
      </c>
      <c r="EF15" s="12"/>
      <c r="EG15" s="8">
        <f aca="true" t="shared" si="54" ref="EG15:EG27">B15+Q15+AF15+AU15+BJ15+BY15+CN15+DC15+DR15</f>
        <v>98846</v>
      </c>
      <c r="EH15" s="8">
        <f aca="true" t="shared" si="55" ref="EH15:EH27">C15+R15+AG15+AV15+BK15+BZ15+CO15+DD15+DS15</f>
        <v>92979</v>
      </c>
      <c r="EI15" s="8">
        <f aca="true" t="shared" si="56" ref="EI15:EI27">D15+S15+AH15+AW15+BL15+CA15+CP15+DE15+DT15</f>
        <v>7306</v>
      </c>
      <c r="EJ15" s="12">
        <f aca="true" t="shared" si="57" ref="EJ15:EJ27">EH15-EI15</f>
        <v>85673</v>
      </c>
      <c r="EK15" s="12"/>
      <c r="EL15" s="8">
        <f aca="true" t="shared" si="58" ref="EL15:EL27">G15+V15+AK15+AZ15+BO15+CD15+CS15+DH15+DW15</f>
        <v>28879</v>
      </c>
      <c r="EM15" s="8">
        <f aca="true" t="shared" si="59" ref="EM15:EM27">H15+W15+AL15+BA15+BP15+CE15+CT15+DI15+DX15</f>
        <v>22506</v>
      </c>
      <c r="EN15" s="8">
        <f aca="true" t="shared" si="60" ref="EN15:EN27">I15+X15+AM15+BB15+BQ15+CF15+CU15+DJ15+DY15</f>
        <v>2212</v>
      </c>
      <c r="EO15" s="12">
        <f aca="true" t="shared" si="61" ref="EO15:EO27">EM15-EN15</f>
        <v>20294</v>
      </c>
      <c r="EP15" s="12"/>
      <c r="EQ15" s="8">
        <f aca="true" t="shared" si="62" ref="EQ15:EQ27">L15+AA15+AP15+BE15+BT15+CI15+CX15+DM15+EB15</f>
        <v>69967</v>
      </c>
      <c r="ER15" s="8">
        <f aca="true" t="shared" si="63" ref="ER15:ER27">M15+AB15+AQ15+BF15+BU15+CJ15+CY15+DN15+EC15</f>
        <v>70473</v>
      </c>
      <c r="ES15" s="8">
        <f aca="true" t="shared" si="64" ref="ES15:ES27">N15+AC15+AR15+BG15+BV15+CK15+CZ15+DO15+ED15</f>
        <v>5094</v>
      </c>
      <c r="ET15" s="12">
        <f aca="true" t="shared" si="65" ref="ET15:ET27">ER15-ES15</f>
        <v>65379</v>
      </c>
      <c r="EU15" s="12"/>
      <c r="EV15" s="8">
        <f aca="true" t="shared" si="66" ref="EV15:EV27">FA15+FF15</f>
        <v>1115761</v>
      </c>
      <c r="EW15" s="8">
        <f aca="true" t="shared" si="67" ref="EW15:EW27">FB15+FG15</f>
        <v>936788</v>
      </c>
      <c r="EX15" s="8">
        <f aca="true" t="shared" si="68" ref="EX15:EX27">FC15+FH15</f>
        <v>60898</v>
      </c>
      <c r="EY15" s="12">
        <f aca="true" t="shared" si="69" ref="EY15:EY27">EW15-EX15</f>
        <v>875890</v>
      </c>
      <c r="EZ15" s="12"/>
      <c r="FA15" s="9">
        <v>443822</v>
      </c>
      <c r="FB15" s="9">
        <v>341048</v>
      </c>
      <c r="FC15" s="9">
        <v>23565</v>
      </c>
      <c r="FD15" s="12">
        <f aca="true" t="shared" si="70" ref="FD15:FD27">FB15-FC15</f>
        <v>317483</v>
      </c>
      <c r="FE15" s="12"/>
      <c r="FF15" s="9">
        <v>671939</v>
      </c>
      <c r="FG15" s="9">
        <v>595740</v>
      </c>
      <c r="FH15" s="9">
        <v>37333</v>
      </c>
      <c r="FI15" s="12">
        <f aca="true" t="shared" si="71" ref="FI15:FI27">FG15-FH15</f>
        <v>558407</v>
      </c>
    </row>
    <row r="16" spans="1:165" ht="12">
      <c r="A16" s="1" t="s">
        <v>23</v>
      </c>
      <c r="B16" s="8">
        <f t="shared" si="0"/>
        <v>7476</v>
      </c>
      <c r="C16" s="8">
        <f t="shared" si="1"/>
        <v>992</v>
      </c>
      <c r="D16" s="8">
        <f t="shared" si="2"/>
        <v>1474</v>
      </c>
      <c r="E16" s="12">
        <f t="shared" si="3"/>
        <v>-482</v>
      </c>
      <c r="F16" s="12"/>
      <c r="G16" s="9">
        <v>2969</v>
      </c>
      <c r="H16" s="9">
        <v>786</v>
      </c>
      <c r="I16" s="9">
        <v>381</v>
      </c>
      <c r="J16" s="12">
        <f t="shared" si="4"/>
        <v>405</v>
      </c>
      <c r="K16" s="12"/>
      <c r="L16" s="9">
        <v>4507</v>
      </c>
      <c r="M16" s="9">
        <v>206</v>
      </c>
      <c r="N16" s="9">
        <v>1093</v>
      </c>
      <c r="O16" s="12">
        <f t="shared" si="5"/>
        <v>-887</v>
      </c>
      <c r="P16" s="12"/>
      <c r="Q16" s="8">
        <f t="shared" si="6"/>
        <v>8531</v>
      </c>
      <c r="R16" s="8">
        <f t="shared" si="7"/>
        <v>1567</v>
      </c>
      <c r="S16" s="8">
        <f t="shared" si="8"/>
        <v>1720</v>
      </c>
      <c r="T16" s="12">
        <f t="shared" si="9"/>
        <v>-153</v>
      </c>
      <c r="U16" s="12"/>
      <c r="V16" s="9">
        <v>2661</v>
      </c>
      <c r="W16" s="9">
        <v>890</v>
      </c>
      <c r="X16" s="9">
        <v>408</v>
      </c>
      <c r="Y16" s="12">
        <f t="shared" si="10"/>
        <v>482</v>
      </c>
      <c r="Z16" s="12"/>
      <c r="AA16" s="9">
        <v>5870</v>
      </c>
      <c r="AB16" s="9">
        <v>677</v>
      </c>
      <c r="AC16" s="9">
        <v>1312</v>
      </c>
      <c r="AD16" s="12">
        <f t="shared" si="11"/>
        <v>-635</v>
      </c>
      <c r="AE16" s="12"/>
      <c r="AF16" s="8">
        <f t="shared" si="12"/>
        <v>10445</v>
      </c>
      <c r="AG16" s="8">
        <f t="shared" si="13"/>
        <v>1065</v>
      </c>
      <c r="AH16" s="8">
        <f t="shared" si="14"/>
        <v>1383</v>
      </c>
      <c r="AI16" s="12">
        <f t="shared" si="15"/>
        <v>-318</v>
      </c>
      <c r="AJ16" s="12"/>
      <c r="AK16" s="9">
        <v>3833</v>
      </c>
      <c r="AL16" s="9">
        <v>725</v>
      </c>
      <c r="AM16" s="9">
        <v>425</v>
      </c>
      <c r="AN16" s="12">
        <f t="shared" si="16"/>
        <v>300</v>
      </c>
      <c r="AO16" s="12"/>
      <c r="AP16" s="9">
        <v>6612</v>
      </c>
      <c r="AQ16" s="9">
        <v>340</v>
      </c>
      <c r="AR16" s="9">
        <v>958</v>
      </c>
      <c r="AS16" s="12">
        <f t="shared" si="17"/>
        <v>-618</v>
      </c>
      <c r="AT16" s="12"/>
      <c r="AU16" s="8">
        <f t="shared" si="18"/>
        <v>12028</v>
      </c>
      <c r="AV16" s="8">
        <f t="shared" si="19"/>
        <v>768</v>
      </c>
      <c r="AW16" s="8">
        <f t="shared" si="20"/>
        <v>2457</v>
      </c>
      <c r="AX16" s="12">
        <f t="shared" si="21"/>
        <v>-1689</v>
      </c>
      <c r="AY16" s="12"/>
      <c r="AZ16" s="9">
        <v>4273</v>
      </c>
      <c r="BA16" s="9">
        <v>462</v>
      </c>
      <c r="BB16" s="9">
        <v>946</v>
      </c>
      <c r="BC16" s="12">
        <f t="shared" si="22"/>
        <v>-484</v>
      </c>
      <c r="BD16" s="12"/>
      <c r="BE16" s="9">
        <v>7755</v>
      </c>
      <c r="BF16" s="9">
        <v>306</v>
      </c>
      <c r="BG16" s="9">
        <v>1511</v>
      </c>
      <c r="BH16" s="12">
        <f t="shared" si="23"/>
        <v>-1205</v>
      </c>
      <c r="BI16" s="12"/>
      <c r="BJ16" s="8">
        <f t="shared" si="24"/>
        <v>14541</v>
      </c>
      <c r="BK16" s="8">
        <f t="shared" si="25"/>
        <v>1453</v>
      </c>
      <c r="BL16" s="8">
        <f t="shared" si="26"/>
        <v>1945</v>
      </c>
      <c r="BM16" s="12">
        <f t="shared" si="27"/>
        <v>-492</v>
      </c>
      <c r="BN16" s="12"/>
      <c r="BO16" s="9">
        <v>3143</v>
      </c>
      <c r="BP16" s="9">
        <v>815</v>
      </c>
      <c r="BQ16" s="9">
        <v>284</v>
      </c>
      <c r="BR16" s="12">
        <f t="shared" si="28"/>
        <v>531</v>
      </c>
      <c r="BS16" s="12"/>
      <c r="BT16" s="9">
        <v>11398</v>
      </c>
      <c r="BU16" s="9">
        <v>638</v>
      </c>
      <c r="BV16" s="9">
        <v>1661</v>
      </c>
      <c r="BW16" s="12">
        <f t="shared" si="29"/>
        <v>-1023</v>
      </c>
      <c r="BX16" s="12"/>
      <c r="BY16" s="8">
        <f t="shared" si="30"/>
        <v>11379</v>
      </c>
      <c r="BZ16" s="8">
        <f t="shared" si="31"/>
        <v>1067</v>
      </c>
      <c r="CA16" s="8">
        <f t="shared" si="32"/>
        <v>1588</v>
      </c>
      <c r="CB16" s="12">
        <f t="shared" si="33"/>
        <v>-521</v>
      </c>
      <c r="CC16" s="12"/>
      <c r="CD16" s="9">
        <v>5702</v>
      </c>
      <c r="CE16" s="9">
        <v>710</v>
      </c>
      <c r="CF16" s="9">
        <v>771</v>
      </c>
      <c r="CG16" s="12">
        <f t="shared" si="34"/>
        <v>-61</v>
      </c>
      <c r="CH16" s="12"/>
      <c r="CI16" s="9">
        <v>5677</v>
      </c>
      <c r="CJ16" s="9">
        <v>357</v>
      </c>
      <c r="CK16" s="9">
        <v>817</v>
      </c>
      <c r="CL16" s="12">
        <f t="shared" si="35"/>
        <v>-460</v>
      </c>
      <c r="CM16" s="12"/>
      <c r="CN16" s="8">
        <f t="shared" si="36"/>
        <v>12686</v>
      </c>
      <c r="CO16" s="8">
        <f t="shared" si="37"/>
        <v>2941</v>
      </c>
      <c r="CP16" s="8">
        <f t="shared" si="38"/>
        <v>3423</v>
      </c>
      <c r="CQ16" s="12">
        <f t="shared" si="39"/>
        <v>-482</v>
      </c>
      <c r="CR16" s="12"/>
      <c r="CS16" s="9">
        <v>4549</v>
      </c>
      <c r="CT16" s="9">
        <v>1534</v>
      </c>
      <c r="CU16" s="9">
        <v>709</v>
      </c>
      <c r="CV16" s="12">
        <f t="shared" si="40"/>
        <v>825</v>
      </c>
      <c r="CW16" s="12"/>
      <c r="CX16" s="9">
        <v>8137</v>
      </c>
      <c r="CY16" s="9">
        <v>1407</v>
      </c>
      <c r="CZ16" s="9">
        <v>2714</v>
      </c>
      <c r="DA16" s="12">
        <f t="shared" si="41"/>
        <v>-1307</v>
      </c>
      <c r="DB16" s="12"/>
      <c r="DC16" s="8">
        <f t="shared" si="42"/>
        <v>11612</v>
      </c>
      <c r="DD16" s="8">
        <f t="shared" si="43"/>
        <v>946</v>
      </c>
      <c r="DE16" s="8">
        <f t="shared" si="44"/>
        <v>2287</v>
      </c>
      <c r="DF16" s="12">
        <f t="shared" si="45"/>
        <v>-1341</v>
      </c>
      <c r="DG16" s="12"/>
      <c r="DH16" s="9">
        <v>2260</v>
      </c>
      <c r="DI16" s="9">
        <v>507</v>
      </c>
      <c r="DJ16" s="9">
        <v>332</v>
      </c>
      <c r="DK16" s="12">
        <f t="shared" si="46"/>
        <v>175</v>
      </c>
      <c r="DL16" s="12"/>
      <c r="DM16" s="9">
        <v>9352</v>
      </c>
      <c r="DN16" s="9">
        <v>439</v>
      </c>
      <c r="DO16" s="9">
        <v>1955</v>
      </c>
      <c r="DP16" s="12">
        <f t="shared" si="47"/>
        <v>-1516</v>
      </c>
      <c r="DQ16" s="12"/>
      <c r="DR16" s="8">
        <f t="shared" si="48"/>
        <v>3404</v>
      </c>
      <c r="DS16" s="8">
        <f t="shared" si="49"/>
        <v>151</v>
      </c>
      <c r="DT16" s="8">
        <f t="shared" si="50"/>
        <v>1308</v>
      </c>
      <c r="DU16" s="12">
        <f t="shared" si="51"/>
        <v>-1157</v>
      </c>
      <c r="DV16" s="12"/>
      <c r="DW16" s="9">
        <v>1203</v>
      </c>
      <c r="DX16" s="9">
        <v>76</v>
      </c>
      <c r="DY16" s="9">
        <v>587</v>
      </c>
      <c r="DZ16" s="12">
        <f t="shared" si="52"/>
        <v>-511</v>
      </c>
      <c r="EA16" s="12"/>
      <c r="EB16" s="9">
        <v>2201</v>
      </c>
      <c r="EC16" s="9">
        <v>75</v>
      </c>
      <c r="ED16" s="9">
        <v>721</v>
      </c>
      <c r="EE16" s="12">
        <f t="shared" si="53"/>
        <v>-646</v>
      </c>
      <c r="EF16" s="12"/>
      <c r="EG16" s="8">
        <f t="shared" si="54"/>
        <v>92102</v>
      </c>
      <c r="EH16" s="8">
        <f t="shared" si="55"/>
        <v>10950</v>
      </c>
      <c r="EI16" s="8">
        <f t="shared" si="56"/>
        <v>17585</v>
      </c>
      <c r="EJ16" s="12">
        <f t="shared" si="57"/>
        <v>-6635</v>
      </c>
      <c r="EK16" s="12"/>
      <c r="EL16" s="8">
        <f t="shared" si="58"/>
        <v>30593</v>
      </c>
      <c r="EM16" s="8">
        <f t="shared" si="59"/>
        <v>6505</v>
      </c>
      <c r="EN16" s="8">
        <f t="shared" si="60"/>
        <v>4843</v>
      </c>
      <c r="EO16" s="12">
        <f t="shared" si="61"/>
        <v>1662</v>
      </c>
      <c r="EP16" s="12"/>
      <c r="EQ16" s="8">
        <f t="shared" si="62"/>
        <v>61509</v>
      </c>
      <c r="ER16" s="8">
        <f t="shared" si="63"/>
        <v>4445</v>
      </c>
      <c r="ES16" s="8">
        <f t="shared" si="64"/>
        <v>12742</v>
      </c>
      <c r="ET16" s="12">
        <f t="shared" si="65"/>
        <v>-8297</v>
      </c>
      <c r="EU16" s="12"/>
      <c r="EV16" s="8">
        <f t="shared" si="66"/>
        <v>1090984</v>
      </c>
      <c r="EW16" s="8">
        <f t="shared" si="67"/>
        <v>89210</v>
      </c>
      <c r="EX16" s="8">
        <f t="shared" si="68"/>
        <v>114012</v>
      </c>
      <c r="EY16" s="12">
        <f t="shared" si="69"/>
        <v>-24802</v>
      </c>
      <c r="EZ16" s="12"/>
      <c r="FA16" s="9">
        <v>450250</v>
      </c>
      <c r="FB16" s="9">
        <v>53207</v>
      </c>
      <c r="FC16" s="9">
        <v>47245</v>
      </c>
      <c r="FD16" s="12">
        <f t="shared" si="70"/>
        <v>5962</v>
      </c>
      <c r="FE16" s="12"/>
      <c r="FF16" s="9">
        <v>640734</v>
      </c>
      <c r="FG16" s="9">
        <v>36003</v>
      </c>
      <c r="FH16" s="9">
        <v>66767</v>
      </c>
      <c r="FI16" s="12">
        <f t="shared" si="71"/>
        <v>-30764</v>
      </c>
    </row>
    <row r="17" spans="1:165" ht="12">
      <c r="A17" s="1" t="s">
        <v>24</v>
      </c>
      <c r="B17" s="8">
        <f t="shared" si="0"/>
        <v>7497</v>
      </c>
      <c r="C17" s="8">
        <f t="shared" si="1"/>
        <v>315</v>
      </c>
      <c r="D17" s="8">
        <f t="shared" si="2"/>
        <v>359</v>
      </c>
      <c r="E17" s="12">
        <f t="shared" si="3"/>
        <v>-44</v>
      </c>
      <c r="F17" s="12"/>
      <c r="G17" s="9">
        <v>3029</v>
      </c>
      <c r="H17" s="9">
        <v>195</v>
      </c>
      <c r="I17" s="9">
        <v>156</v>
      </c>
      <c r="J17" s="12">
        <f t="shared" si="4"/>
        <v>39</v>
      </c>
      <c r="K17" s="12"/>
      <c r="L17" s="9">
        <v>4468</v>
      </c>
      <c r="M17" s="9">
        <v>120</v>
      </c>
      <c r="N17" s="9">
        <v>203</v>
      </c>
      <c r="O17" s="12">
        <f t="shared" si="5"/>
        <v>-83</v>
      </c>
      <c r="P17" s="12"/>
      <c r="Q17" s="8">
        <f t="shared" si="6"/>
        <v>8412</v>
      </c>
      <c r="R17" s="8">
        <f t="shared" si="7"/>
        <v>427</v>
      </c>
      <c r="S17" s="8">
        <f t="shared" si="8"/>
        <v>585</v>
      </c>
      <c r="T17" s="12">
        <f t="shared" si="9"/>
        <v>-158</v>
      </c>
      <c r="U17" s="12"/>
      <c r="V17" s="9">
        <v>2918</v>
      </c>
      <c r="W17" s="9">
        <v>381</v>
      </c>
      <c r="X17" s="9">
        <v>138</v>
      </c>
      <c r="Y17" s="12">
        <f t="shared" si="10"/>
        <v>243</v>
      </c>
      <c r="Z17" s="12"/>
      <c r="AA17" s="9">
        <v>5494</v>
      </c>
      <c r="AB17" s="9">
        <v>46</v>
      </c>
      <c r="AC17" s="9">
        <v>447</v>
      </c>
      <c r="AD17" s="12">
        <f t="shared" si="11"/>
        <v>-401</v>
      </c>
      <c r="AE17" s="12"/>
      <c r="AF17" s="8">
        <f t="shared" si="12"/>
        <v>10188</v>
      </c>
      <c r="AG17" s="8">
        <f t="shared" si="13"/>
        <v>351</v>
      </c>
      <c r="AH17" s="8">
        <f t="shared" si="14"/>
        <v>638</v>
      </c>
      <c r="AI17" s="12">
        <f t="shared" si="15"/>
        <v>-287</v>
      </c>
      <c r="AJ17" s="12"/>
      <c r="AK17" s="9">
        <v>3849</v>
      </c>
      <c r="AL17" s="9">
        <v>296</v>
      </c>
      <c r="AM17" s="9">
        <v>295</v>
      </c>
      <c r="AN17" s="12">
        <f t="shared" si="16"/>
        <v>1</v>
      </c>
      <c r="AO17" s="12"/>
      <c r="AP17" s="9">
        <v>6339</v>
      </c>
      <c r="AQ17" s="9">
        <v>55</v>
      </c>
      <c r="AR17" s="9">
        <v>343</v>
      </c>
      <c r="AS17" s="12">
        <f t="shared" si="17"/>
        <v>-288</v>
      </c>
      <c r="AT17" s="12"/>
      <c r="AU17" s="8">
        <f t="shared" si="18"/>
        <v>11887</v>
      </c>
      <c r="AV17" s="8">
        <f t="shared" si="19"/>
        <v>486</v>
      </c>
      <c r="AW17" s="8">
        <f t="shared" si="20"/>
        <v>665</v>
      </c>
      <c r="AX17" s="12">
        <f t="shared" si="21"/>
        <v>-179</v>
      </c>
      <c r="AY17" s="12"/>
      <c r="AZ17" s="9">
        <v>4195</v>
      </c>
      <c r="BA17" s="9">
        <v>204</v>
      </c>
      <c r="BB17" s="9">
        <v>296</v>
      </c>
      <c r="BC17" s="12">
        <f t="shared" si="22"/>
        <v>-92</v>
      </c>
      <c r="BD17" s="12"/>
      <c r="BE17" s="9">
        <v>7692</v>
      </c>
      <c r="BF17" s="9">
        <v>282</v>
      </c>
      <c r="BG17" s="9">
        <v>369</v>
      </c>
      <c r="BH17" s="12">
        <f t="shared" si="23"/>
        <v>-87</v>
      </c>
      <c r="BI17" s="12"/>
      <c r="BJ17" s="8">
        <f t="shared" si="24"/>
        <v>14319</v>
      </c>
      <c r="BK17" s="8">
        <f t="shared" si="25"/>
        <v>503</v>
      </c>
      <c r="BL17" s="8">
        <f t="shared" si="26"/>
        <v>759</v>
      </c>
      <c r="BM17" s="12">
        <f t="shared" si="27"/>
        <v>-256</v>
      </c>
      <c r="BN17" s="12"/>
      <c r="BO17" s="9">
        <v>3229</v>
      </c>
      <c r="BP17" s="9">
        <v>228</v>
      </c>
      <c r="BQ17" s="9">
        <v>163</v>
      </c>
      <c r="BR17" s="12">
        <f t="shared" si="28"/>
        <v>65</v>
      </c>
      <c r="BS17" s="12"/>
      <c r="BT17" s="9">
        <v>11090</v>
      </c>
      <c r="BU17" s="9">
        <v>275</v>
      </c>
      <c r="BV17" s="9">
        <v>596</v>
      </c>
      <c r="BW17" s="12">
        <f t="shared" si="29"/>
        <v>-321</v>
      </c>
      <c r="BX17" s="12"/>
      <c r="BY17" s="8">
        <f t="shared" si="30"/>
        <v>10949</v>
      </c>
      <c r="BZ17" s="8">
        <f t="shared" si="31"/>
        <v>294</v>
      </c>
      <c r="CA17" s="8">
        <f t="shared" si="32"/>
        <v>747</v>
      </c>
      <c r="CB17" s="12">
        <f t="shared" si="33"/>
        <v>-453</v>
      </c>
      <c r="CC17" s="12"/>
      <c r="CD17" s="9">
        <v>5543</v>
      </c>
      <c r="CE17" s="9">
        <v>196</v>
      </c>
      <c r="CF17" s="9">
        <v>529</v>
      </c>
      <c r="CG17" s="12">
        <f t="shared" si="34"/>
        <v>-333</v>
      </c>
      <c r="CH17" s="12"/>
      <c r="CI17" s="9">
        <v>5406</v>
      </c>
      <c r="CJ17" s="9">
        <v>98</v>
      </c>
      <c r="CK17" s="9">
        <v>218</v>
      </c>
      <c r="CL17" s="12">
        <f t="shared" si="35"/>
        <v>-120</v>
      </c>
      <c r="CM17" s="12"/>
      <c r="CN17" s="8">
        <f t="shared" si="36"/>
        <v>12402</v>
      </c>
      <c r="CO17" s="8">
        <f t="shared" si="37"/>
        <v>305</v>
      </c>
      <c r="CP17" s="8">
        <f t="shared" si="38"/>
        <v>626</v>
      </c>
      <c r="CQ17" s="12">
        <f t="shared" si="39"/>
        <v>-321</v>
      </c>
      <c r="CR17" s="12"/>
      <c r="CS17" s="9">
        <v>4575</v>
      </c>
      <c r="CT17" s="9">
        <v>278</v>
      </c>
      <c r="CU17" s="9">
        <v>264</v>
      </c>
      <c r="CV17" s="12">
        <f t="shared" si="40"/>
        <v>14</v>
      </c>
      <c r="CW17" s="12"/>
      <c r="CX17" s="9">
        <v>7827</v>
      </c>
      <c r="CY17" s="9">
        <v>27</v>
      </c>
      <c r="CZ17" s="9">
        <v>362</v>
      </c>
      <c r="DA17" s="12">
        <f t="shared" si="41"/>
        <v>-335</v>
      </c>
      <c r="DB17" s="12"/>
      <c r="DC17" s="8">
        <f t="shared" si="42"/>
        <v>11213</v>
      </c>
      <c r="DD17" s="8">
        <f t="shared" si="43"/>
        <v>332</v>
      </c>
      <c r="DE17" s="8">
        <f t="shared" si="44"/>
        <v>761</v>
      </c>
      <c r="DF17" s="12">
        <f t="shared" si="45"/>
        <v>-429</v>
      </c>
      <c r="DG17" s="12"/>
      <c r="DH17" s="9">
        <v>2239</v>
      </c>
      <c r="DI17" s="9">
        <v>91</v>
      </c>
      <c r="DJ17" s="9">
        <v>119</v>
      </c>
      <c r="DK17" s="12">
        <f t="shared" si="46"/>
        <v>-28</v>
      </c>
      <c r="DL17" s="12"/>
      <c r="DM17" s="9">
        <v>8974</v>
      </c>
      <c r="DN17" s="9">
        <v>241</v>
      </c>
      <c r="DO17" s="9">
        <v>642</v>
      </c>
      <c r="DP17" s="12">
        <f t="shared" si="47"/>
        <v>-401</v>
      </c>
      <c r="DQ17" s="12"/>
      <c r="DR17" s="8">
        <f t="shared" si="48"/>
        <v>3395</v>
      </c>
      <c r="DS17" s="8">
        <f t="shared" si="49"/>
        <v>235</v>
      </c>
      <c r="DT17" s="8">
        <f t="shared" si="50"/>
        <v>250</v>
      </c>
      <c r="DU17" s="12">
        <f t="shared" si="51"/>
        <v>-15</v>
      </c>
      <c r="DV17" s="12"/>
      <c r="DW17" s="9">
        <v>1205</v>
      </c>
      <c r="DX17" s="9">
        <v>124</v>
      </c>
      <c r="DY17" s="9">
        <v>121</v>
      </c>
      <c r="DZ17" s="12">
        <f t="shared" si="52"/>
        <v>3</v>
      </c>
      <c r="EA17" s="12"/>
      <c r="EB17" s="9">
        <v>2190</v>
      </c>
      <c r="EC17" s="9">
        <v>111</v>
      </c>
      <c r="ED17" s="9">
        <v>129</v>
      </c>
      <c r="EE17" s="12">
        <f t="shared" si="53"/>
        <v>-18</v>
      </c>
      <c r="EF17" s="12"/>
      <c r="EG17" s="8">
        <f t="shared" si="54"/>
        <v>90262</v>
      </c>
      <c r="EH17" s="8">
        <f t="shared" si="55"/>
        <v>3248</v>
      </c>
      <c r="EI17" s="8">
        <f t="shared" si="56"/>
        <v>5390</v>
      </c>
      <c r="EJ17" s="12">
        <f t="shared" si="57"/>
        <v>-2142</v>
      </c>
      <c r="EK17" s="12"/>
      <c r="EL17" s="8">
        <f t="shared" si="58"/>
        <v>30782</v>
      </c>
      <c r="EM17" s="8">
        <f t="shared" si="59"/>
        <v>1993</v>
      </c>
      <c r="EN17" s="8">
        <f t="shared" si="60"/>
        <v>2081</v>
      </c>
      <c r="EO17" s="12">
        <f t="shared" si="61"/>
        <v>-88</v>
      </c>
      <c r="EP17" s="12"/>
      <c r="EQ17" s="8">
        <f t="shared" si="62"/>
        <v>59480</v>
      </c>
      <c r="ER17" s="8">
        <f t="shared" si="63"/>
        <v>1255</v>
      </c>
      <c r="ES17" s="8">
        <f t="shared" si="64"/>
        <v>3309</v>
      </c>
      <c r="ET17" s="12">
        <f t="shared" si="65"/>
        <v>-2054</v>
      </c>
      <c r="EU17" s="12"/>
      <c r="EV17" s="8">
        <f t="shared" si="66"/>
        <v>1080703</v>
      </c>
      <c r="EW17" s="8">
        <f t="shared" si="67"/>
        <v>50259</v>
      </c>
      <c r="EX17" s="8">
        <f t="shared" si="68"/>
        <v>63420</v>
      </c>
      <c r="EY17" s="12">
        <f t="shared" si="69"/>
        <v>-13161</v>
      </c>
      <c r="EZ17" s="12"/>
      <c r="FA17" s="9">
        <v>454441</v>
      </c>
      <c r="FB17" s="9">
        <v>33328</v>
      </c>
      <c r="FC17" s="9">
        <v>30880</v>
      </c>
      <c r="FD17" s="12">
        <f t="shared" si="70"/>
        <v>2448</v>
      </c>
      <c r="FE17" s="12"/>
      <c r="FF17" s="9">
        <v>626262</v>
      </c>
      <c r="FG17" s="9">
        <v>16931</v>
      </c>
      <c r="FH17" s="9">
        <v>32540</v>
      </c>
      <c r="FI17" s="12">
        <f t="shared" si="71"/>
        <v>-15609</v>
      </c>
    </row>
    <row r="18" spans="1:165" ht="12">
      <c r="A18" s="1" t="s">
        <v>25</v>
      </c>
      <c r="B18" s="8">
        <f t="shared" si="0"/>
        <v>7341</v>
      </c>
      <c r="C18" s="8">
        <f t="shared" si="1"/>
        <v>214</v>
      </c>
      <c r="D18" s="8">
        <f t="shared" si="2"/>
        <v>390</v>
      </c>
      <c r="E18" s="12">
        <f t="shared" si="3"/>
        <v>-176</v>
      </c>
      <c r="F18" s="12"/>
      <c r="G18" s="9">
        <v>3006</v>
      </c>
      <c r="H18" s="9">
        <v>131</v>
      </c>
      <c r="I18" s="9">
        <v>173</v>
      </c>
      <c r="J18" s="12">
        <f t="shared" si="4"/>
        <v>-42</v>
      </c>
      <c r="K18" s="12"/>
      <c r="L18" s="9">
        <v>4335</v>
      </c>
      <c r="M18" s="9">
        <v>83</v>
      </c>
      <c r="N18" s="9">
        <v>217</v>
      </c>
      <c r="O18" s="12">
        <f t="shared" si="5"/>
        <v>-134</v>
      </c>
      <c r="P18" s="12"/>
      <c r="Q18" s="8">
        <f t="shared" si="6"/>
        <v>8173</v>
      </c>
      <c r="R18" s="8">
        <f t="shared" si="7"/>
        <v>235</v>
      </c>
      <c r="S18" s="8">
        <f t="shared" si="8"/>
        <v>487</v>
      </c>
      <c r="T18" s="12">
        <f t="shared" si="9"/>
        <v>-252</v>
      </c>
      <c r="U18" s="12"/>
      <c r="V18" s="9">
        <v>2913</v>
      </c>
      <c r="W18" s="9">
        <v>141</v>
      </c>
      <c r="X18" s="9">
        <v>162</v>
      </c>
      <c r="Y18" s="12">
        <f t="shared" si="10"/>
        <v>-21</v>
      </c>
      <c r="Z18" s="12"/>
      <c r="AA18" s="9">
        <v>5260</v>
      </c>
      <c r="AB18" s="9">
        <v>94</v>
      </c>
      <c r="AC18" s="9">
        <v>325</v>
      </c>
      <c r="AD18" s="12">
        <f t="shared" si="11"/>
        <v>-231</v>
      </c>
      <c r="AE18" s="12"/>
      <c r="AF18" s="8">
        <f t="shared" si="12"/>
        <v>9933</v>
      </c>
      <c r="AG18" s="8">
        <f t="shared" si="13"/>
        <v>277</v>
      </c>
      <c r="AH18" s="8">
        <f t="shared" si="14"/>
        <v>566</v>
      </c>
      <c r="AI18" s="12">
        <f t="shared" si="15"/>
        <v>-289</v>
      </c>
      <c r="AJ18" s="12"/>
      <c r="AK18" s="9">
        <v>3804</v>
      </c>
      <c r="AL18" s="9">
        <v>166</v>
      </c>
      <c r="AM18" s="9">
        <v>237</v>
      </c>
      <c r="AN18" s="12">
        <f t="shared" si="16"/>
        <v>-71</v>
      </c>
      <c r="AO18" s="12"/>
      <c r="AP18" s="9">
        <v>6129</v>
      </c>
      <c r="AQ18" s="9">
        <v>111</v>
      </c>
      <c r="AR18" s="9">
        <v>329</v>
      </c>
      <c r="AS18" s="12">
        <f t="shared" si="17"/>
        <v>-218</v>
      </c>
      <c r="AT18" s="12"/>
      <c r="AU18" s="8">
        <f t="shared" si="18"/>
        <v>11679</v>
      </c>
      <c r="AV18" s="8">
        <f t="shared" si="19"/>
        <v>415</v>
      </c>
      <c r="AW18" s="8">
        <f t="shared" si="20"/>
        <v>667</v>
      </c>
      <c r="AX18" s="12">
        <f t="shared" si="21"/>
        <v>-252</v>
      </c>
      <c r="AY18" s="12"/>
      <c r="AZ18" s="9">
        <v>4057</v>
      </c>
      <c r="BA18" s="9">
        <v>176</v>
      </c>
      <c r="BB18" s="9">
        <v>330</v>
      </c>
      <c r="BC18" s="12">
        <f t="shared" si="22"/>
        <v>-154</v>
      </c>
      <c r="BD18" s="12"/>
      <c r="BE18" s="9">
        <v>7622</v>
      </c>
      <c r="BF18" s="9">
        <v>239</v>
      </c>
      <c r="BG18" s="9">
        <v>337</v>
      </c>
      <c r="BH18" s="12">
        <f t="shared" si="23"/>
        <v>-98</v>
      </c>
      <c r="BI18" s="12"/>
      <c r="BJ18" s="8">
        <f t="shared" si="24"/>
        <v>13879</v>
      </c>
      <c r="BK18" s="8">
        <f t="shared" si="25"/>
        <v>398</v>
      </c>
      <c r="BL18" s="8">
        <f t="shared" si="26"/>
        <v>872</v>
      </c>
      <c r="BM18" s="12">
        <f t="shared" si="27"/>
        <v>-474</v>
      </c>
      <c r="BN18" s="12"/>
      <c r="BO18" s="9">
        <v>3271</v>
      </c>
      <c r="BP18" s="9">
        <v>196</v>
      </c>
      <c r="BQ18" s="9">
        <v>182</v>
      </c>
      <c r="BR18" s="12">
        <f t="shared" si="28"/>
        <v>14</v>
      </c>
      <c r="BS18" s="12"/>
      <c r="BT18" s="9">
        <v>10608</v>
      </c>
      <c r="BU18" s="9">
        <v>202</v>
      </c>
      <c r="BV18" s="9">
        <v>690</v>
      </c>
      <c r="BW18" s="12">
        <f t="shared" si="29"/>
        <v>-488</v>
      </c>
      <c r="BX18" s="12"/>
      <c r="BY18" s="8">
        <f t="shared" si="30"/>
        <v>10454</v>
      </c>
      <c r="BZ18" s="8">
        <f t="shared" si="31"/>
        <v>276</v>
      </c>
      <c r="CA18" s="8">
        <f t="shared" si="32"/>
        <v>785</v>
      </c>
      <c r="CB18" s="12">
        <f t="shared" si="33"/>
        <v>-509</v>
      </c>
      <c r="CC18" s="12"/>
      <c r="CD18" s="9">
        <v>5227</v>
      </c>
      <c r="CE18" s="9">
        <v>178</v>
      </c>
      <c r="CF18" s="9">
        <v>537</v>
      </c>
      <c r="CG18" s="12">
        <f t="shared" si="34"/>
        <v>-359</v>
      </c>
      <c r="CH18" s="12"/>
      <c r="CI18" s="9">
        <v>5227</v>
      </c>
      <c r="CJ18" s="9">
        <v>98</v>
      </c>
      <c r="CK18" s="9">
        <v>248</v>
      </c>
      <c r="CL18" s="12">
        <f t="shared" si="35"/>
        <v>-150</v>
      </c>
      <c r="CM18" s="12"/>
      <c r="CN18" s="8">
        <f t="shared" si="36"/>
        <v>11927</v>
      </c>
      <c r="CO18" s="8">
        <f t="shared" si="37"/>
        <v>304</v>
      </c>
      <c r="CP18" s="8">
        <f t="shared" si="38"/>
        <v>810</v>
      </c>
      <c r="CQ18" s="12">
        <f t="shared" si="39"/>
        <v>-506</v>
      </c>
      <c r="CR18" s="12"/>
      <c r="CS18" s="9">
        <v>4409</v>
      </c>
      <c r="CT18" s="9">
        <v>150</v>
      </c>
      <c r="CU18" s="9">
        <v>327</v>
      </c>
      <c r="CV18" s="12">
        <f t="shared" si="40"/>
        <v>-177</v>
      </c>
      <c r="CW18" s="12"/>
      <c r="CX18" s="9">
        <v>7518</v>
      </c>
      <c r="CY18" s="9">
        <v>154</v>
      </c>
      <c r="CZ18" s="9">
        <v>483</v>
      </c>
      <c r="DA18" s="12">
        <f t="shared" si="41"/>
        <v>-329</v>
      </c>
      <c r="DB18" s="12"/>
      <c r="DC18" s="8">
        <f t="shared" si="42"/>
        <v>10908</v>
      </c>
      <c r="DD18" s="8">
        <f t="shared" si="43"/>
        <v>314</v>
      </c>
      <c r="DE18" s="8">
        <f t="shared" si="44"/>
        <v>655</v>
      </c>
      <c r="DF18" s="12">
        <f t="shared" si="45"/>
        <v>-341</v>
      </c>
      <c r="DG18" s="12"/>
      <c r="DH18" s="9">
        <v>2234</v>
      </c>
      <c r="DI18" s="9">
        <v>108</v>
      </c>
      <c r="DJ18" s="9">
        <v>135</v>
      </c>
      <c r="DK18" s="12">
        <f t="shared" si="46"/>
        <v>-27</v>
      </c>
      <c r="DL18" s="12"/>
      <c r="DM18" s="9">
        <v>8674</v>
      </c>
      <c r="DN18" s="9">
        <v>206</v>
      </c>
      <c r="DO18" s="9">
        <v>520</v>
      </c>
      <c r="DP18" s="12">
        <f t="shared" si="47"/>
        <v>-314</v>
      </c>
      <c r="DQ18" s="12"/>
      <c r="DR18" s="8">
        <f t="shared" si="48"/>
        <v>3341</v>
      </c>
      <c r="DS18" s="8">
        <f t="shared" si="49"/>
        <v>135</v>
      </c>
      <c r="DT18" s="8">
        <f t="shared" si="50"/>
        <v>207</v>
      </c>
      <c r="DU18" s="12">
        <f t="shared" si="51"/>
        <v>-72</v>
      </c>
      <c r="DV18" s="12"/>
      <c r="DW18" s="9">
        <v>1204</v>
      </c>
      <c r="DX18" s="9">
        <v>78</v>
      </c>
      <c r="DY18" s="9">
        <v>87</v>
      </c>
      <c r="DZ18" s="12">
        <f t="shared" si="52"/>
        <v>-9</v>
      </c>
      <c r="EA18" s="12"/>
      <c r="EB18" s="9">
        <v>2137</v>
      </c>
      <c r="EC18" s="9">
        <v>57</v>
      </c>
      <c r="ED18" s="9">
        <v>120</v>
      </c>
      <c r="EE18" s="12">
        <f t="shared" si="53"/>
        <v>-63</v>
      </c>
      <c r="EF18" s="12"/>
      <c r="EG18" s="8">
        <f t="shared" si="54"/>
        <v>87635</v>
      </c>
      <c r="EH18" s="8">
        <f t="shared" si="55"/>
        <v>2568</v>
      </c>
      <c r="EI18" s="8">
        <f t="shared" si="56"/>
        <v>5439</v>
      </c>
      <c r="EJ18" s="12">
        <f t="shared" si="57"/>
        <v>-2871</v>
      </c>
      <c r="EK18" s="12"/>
      <c r="EL18" s="8">
        <f t="shared" si="58"/>
        <v>30125</v>
      </c>
      <c r="EM18" s="8">
        <f t="shared" si="59"/>
        <v>1324</v>
      </c>
      <c r="EN18" s="8">
        <f t="shared" si="60"/>
        <v>2170</v>
      </c>
      <c r="EO18" s="12">
        <f t="shared" si="61"/>
        <v>-846</v>
      </c>
      <c r="EP18" s="12"/>
      <c r="EQ18" s="8">
        <f t="shared" si="62"/>
        <v>57510</v>
      </c>
      <c r="ER18" s="8">
        <f t="shared" si="63"/>
        <v>1244</v>
      </c>
      <c r="ES18" s="8">
        <f t="shared" si="64"/>
        <v>3269</v>
      </c>
      <c r="ET18" s="12">
        <f t="shared" si="65"/>
        <v>-2025</v>
      </c>
      <c r="EU18" s="12"/>
      <c r="EV18" s="8">
        <f t="shared" si="66"/>
        <v>1059169</v>
      </c>
      <c r="EW18" s="8">
        <f t="shared" si="67"/>
        <v>37068</v>
      </c>
      <c r="EX18" s="8">
        <f t="shared" si="68"/>
        <v>62892</v>
      </c>
      <c r="EY18" s="12">
        <f t="shared" si="69"/>
        <v>-25824</v>
      </c>
      <c r="EZ18" s="12"/>
      <c r="FA18" s="9">
        <v>449156</v>
      </c>
      <c r="FB18" s="9">
        <v>22066</v>
      </c>
      <c r="FC18" s="9">
        <v>30427</v>
      </c>
      <c r="FD18" s="12">
        <f t="shared" si="70"/>
        <v>-8361</v>
      </c>
      <c r="FE18" s="12"/>
      <c r="FF18" s="9">
        <v>610013</v>
      </c>
      <c r="FG18" s="9">
        <v>15002</v>
      </c>
      <c r="FH18" s="9">
        <v>32465</v>
      </c>
      <c r="FI18" s="12">
        <f t="shared" si="71"/>
        <v>-17463</v>
      </c>
    </row>
    <row r="19" spans="1:165" ht="12">
      <c r="A19" s="1" t="s">
        <v>26</v>
      </c>
      <c r="B19" s="8">
        <f t="shared" si="0"/>
        <v>7132</v>
      </c>
      <c r="C19" s="8">
        <f t="shared" si="1"/>
        <v>243</v>
      </c>
      <c r="D19" s="8">
        <f t="shared" si="2"/>
        <v>467</v>
      </c>
      <c r="E19" s="12">
        <f t="shared" si="3"/>
        <v>-224</v>
      </c>
      <c r="F19" s="12"/>
      <c r="G19" s="9">
        <v>2970</v>
      </c>
      <c r="H19" s="9">
        <v>145</v>
      </c>
      <c r="I19" s="9">
        <v>196</v>
      </c>
      <c r="J19" s="12">
        <f t="shared" si="4"/>
        <v>-51</v>
      </c>
      <c r="K19" s="12"/>
      <c r="L19" s="9">
        <v>4162</v>
      </c>
      <c r="M19" s="9">
        <v>98</v>
      </c>
      <c r="N19" s="9">
        <v>271</v>
      </c>
      <c r="O19" s="12">
        <f t="shared" si="5"/>
        <v>-173</v>
      </c>
      <c r="P19" s="12"/>
      <c r="Q19" s="8">
        <f t="shared" si="6"/>
        <v>7981</v>
      </c>
      <c r="R19" s="8">
        <f t="shared" si="7"/>
        <v>292</v>
      </c>
      <c r="S19" s="8">
        <f t="shared" si="8"/>
        <v>544</v>
      </c>
      <c r="T19" s="12">
        <f t="shared" si="9"/>
        <v>-252</v>
      </c>
      <c r="U19" s="12"/>
      <c r="V19" s="9">
        <v>2926</v>
      </c>
      <c r="W19" s="9">
        <v>180</v>
      </c>
      <c r="X19" s="9">
        <v>169</v>
      </c>
      <c r="Y19" s="12">
        <f t="shared" si="10"/>
        <v>11</v>
      </c>
      <c r="Z19" s="12"/>
      <c r="AA19" s="9">
        <v>5055</v>
      </c>
      <c r="AB19" s="9">
        <v>112</v>
      </c>
      <c r="AC19" s="9">
        <v>375</v>
      </c>
      <c r="AD19" s="12">
        <f t="shared" si="11"/>
        <v>-263</v>
      </c>
      <c r="AE19" s="12"/>
      <c r="AF19" s="8">
        <f t="shared" si="12"/>
        <v>9671</v>
      </c>
      <c r="AG19" s="8">
        <f t="shared" si="13"/>
        <v>247</v>
      </c>
      <c r="AH19" s="8">
        <f t="shared" si="14"/>
        <v>542</v>
      </c>
      <c r="AI19" s="12">
        <f t="shared" si="15"/>
        <v>-295</v>
      </c>
      <c r="AJ19" s="12"/>
      <c r="AK19" s="9">
        <v>3740</v>
      </c>
      <c r="AL19" s="9">
        <v>158</v>
      </c>
      <c r="AM19" s="9">
        <v>244</v>
      </c>
      <c r="AN19" s="12">
        <f t="shared" si="16"/>
        <v>-86</v>
      </c>
      <c r="AO19" s="12"/>
      <c r="AP19" s="9">
        <v>5931</v>
      </c>
      <c r="AQ19" s="9">
        <v>89</v>
      </c>
      <c r="AR19" s="9">
        <v>298</v>
      </c>
      <c r="AS19" s="12">
        <f t="shared" si="17"/>
        <v>-209</v>
      </c>
      <c r="AT19" s="12"/>
      <c r="AU19" s="8">
        <f t="shared" si="18"/>
        <v>11345</v>
      </c>
      <c r="AV19" s="8">
        <f t="shared" si="19"/>
        <v>369</v>
      </c>
      <c r="AW19" s="8">
        <f t="shared" si="20"/>
        <v>724</v>
      </c>
      <c r="AX19" s="12">
        <f t="shared" si="21"/>
        <v>-355</v>
      </c>
      <c r="AY19" s="12"/>
      <c r="AZ19" s="9">
        <v>3922</v>
      </c>
      <c r="BA19" s="9">
        <v>166</v>
      </c>
      <c r="BB19" s="9">
        <v>309</v>
      </c>
      <c r="BC19" s="12">
        <f t="shared" si="22"/>
        <v>-143</v>
      </c>
      <c r="BD19" s="12"/>
      <c r="BE19" s="9">
        <v>7423</v>
      </c>
      <c r="BF19" s="9">
        <v>203</v>
      </c>
      <c r="BG19" s="9">
        <v>415</v>
      </c>
      <c r="BH19" s="12">
        <f t="shared" si="23"/>
        <v>-212</v>
      </c>
      <c r="BI19" s="12"/>
      <c r="BJ19" s="8">
        <f t="shared" si="24"/>
        <v>13389</v>
      </c>
      <c r="BK19" s="8">
        <f t="shared" si="25"/>
        <v>340</v>
      </c>
      <c r="BL19" s="8">
        <f t="shared" si="26"/>
        <v>843</v>
      </c>
      <c r="BM19" s="12">
        <f t="shared" si="27"/>
        <v>-503</v>
      </c>
      <c r="BN19" s="12"/>
      <c r="BO19" s="9">
        <v>3301</v>
      </c>
      <c r="BP19" s="9">
        <v>175</v>
      </c>
      <c r="BQ19" s="9">
        <v>162</v>
      </c>
      <c r="BR19" s="12">
        <f t="shared" si="28"/>
        <v>13</v>
      </c>
      <c r="BS19" s="12"/>
      <c r="BT19" s="9">
        <v>10088</v>
      </c>
      <c r="BU19" s="9">
        <v>165</v>
      </c>
      <c r="BV19" s="9">
        <v>681</v>
      </c>
      <c r="BW19" s="12">
        <f t="shared" si="29"/>
        <v>-516</v>
      </c>
      <c r="BX19" s="12"/>
      <c r="BY19" s="8">
        <f t="shared" si="30"/>
        <v>10143</v>
      </c>
      <c r="BZ19" s="8">
        <f t="shared" si="31"/>
        <v>260</v>
      </c>
      <c r="CA19" s="8">
        <f t="shared" si="32"/>
        <v>559</v>
      </c>
      <c r="CB19" s="12">
        <f t="shared" si="33"/>
        <v>-299</v>
      </c>
      <c r="CC19" s="12"/>
      <c r="CD19" s="9">
        <v>5069</v>
      </c>
      <c r="CE19" s="9">
        <v>142</v>
      </c>
      <c r="CF19" s="9">
        <v>365</v>
      </c>
      <c r="CG19" s="12">
        <f t="shared" si="34"/>
        <v>-223</v>
      </c>
      <c r="CH19" s="12"/>
      <c r="CI19" s="9">
        <v>5074</v>
      </c>
      <c r="CJ19" s="9">
        <v>118</v>
      </c>
      <c r="CK19" s="9">
        <v>194</v>
      </c>
      <c r="CL19" s="12">
        <f t="shared" si="35"/>
        <v>-76</v>
      </c>
      <c r="CM19" s="12"/>
      <c r="CN19" s="8">
        <f t="shared" si="36"/>
        <v>11386</v>
      </c>
      <c r="CO19" s="8">
        <f t="shared" si="37"/>
        <v>292</v>
      </c>
      <c r="CP19" s="8">
        <f t="shared" si="38"/>
        <v>839</v>
      </c>
      <c r="CQ19" s="12">
        <f t="shared" si="39"/>
        <v>-547</v>
      </c>
      <c r="CR19" s="12"/>
      <c r="CS19" s="9">
        <v>4213</v>
      </c>
      <c r="CT19" s="9">
        <v>144</v>
      </c>
      <c r="CU19" s="9">
        <v>343</v>
      </c>
      <c r="CV19" s="12">
        <f t="shared" si="40"/>
        <v>-199</v>
      </c>
      <c r="CW19" s="12"/>
      <c r="CX19" s="9">
        <v>7173</v>
      </c>
      <c r="CY19" s="9">
        <v>148</v>
      </c>
      <c r="CZ19" s="9">
        <v>496</v>
      </c>
      <c r="DA19" s="12">
        <f t="shared" si="41"/>
        <v>-348</v>
      </c>
      <c r="DB19" s="12"/>
      <c r="DC19" s="8">
        <f t="shared" si="42"/>
        <v>10540</v>
      </c>
      <c r="DD19" s="8">
        <f t="shared" si="43"/>
        <v>297</v>
      </c>
      <c r="DE19" s="8">
        <f t="shared" si="44"/>
        <v>688</v>
      </c>
      <c r="DF19" s="12">
        <f t="shared" si="45"/>
        <v>-391</v>
      </c>
      <c r="DG19" s="12"/>
      <c r="DH19" s="9">
        <v>2219</v>
      </c>
      <c r="DI19" s="9">
        <v>100</v>
      </c>
      <c r="DJ19" s="9">
        <v>129</v>
      </c>
      <c r="DK19" s="12">
        <f t="shared" si="46"/>
        <v>-29</v>
      </c>
      <c r="DL19" s="12"/>
      <c r="DM19" s="9">
        <v>8321</v>
      </c>
      <c r="DN19" s="9">
        <v>197</v>
      </c>
      <c r="DO19" s="9">
        <v>559</v>
      </c>
      <c r="DP19" s="12">
        <f t="shared" si="47"/>
        <v>-362</v>
      </c>
      <c r="DQ19" s="12"/>
      <c r="DR19" s="8">
        <f t="shared" si="48"/>
        <v>3228</v>
      </c>
      <c r="DS19" s="8">
        <f t="shared" si="49"/>
        <v>82</v>
      </c>
      <c r="DT19" s="8">
        <f t="shared" si="50"/>
        <v>207</v>
      </c>
      <c r="DU19" s="12">
        <f t="shared" si="51"/>
        <v>-125</v>
      </c>
      <c r="DV19" s="12"/>
      <c r="DW19" s="9">
        <v>1157</v>
      </c>
      <c r="DX19" s="9">
        <v>38</v>
      </c>
      <c r="DY19" s="9">
        <v>95</v>
      </c>
      <c r="DZ19" s="12">
        <f t="shared" si="52"/>
        <v>-57</v>
      </c>
      <c r="EA19" s="12"/>
      <c r="EB19" s="9">
        <v>2071</v>
      </c>
      <c r="EC19" s="9">
        <v>44</v>
      </c>
      <c r="ED19" s="9">
        <v>112</v>
      </c>
      <c r="EE19" s="12">
        <f t="shared" si="53"/>
        <v>-68</v>
      </c>
      <c r="EF19" s="12"/>
      <c r="EG19" s="8">
        <f t="shared" si="54"/>
        <v>84815</v>
      </c>
      <c r="EH19" s="8">
        <f t="shared" si="55"/>
        <v>2422</v>
      </c>
      <c r="EI19" s="8">
        <f t="shared" si="56"/>
        <v>5413</v>
      </c>
      <c r="EJ19" s="12">
        <f t="shared" si="57"/>
        <v>-2991</v>
      </c>
      <c r="EK19" s="12"/>
      <c r="EL19" s="8">
        <f t="shared" si="58"/>
        <v>29517</v>
      </c>
      <c r="EM19" s="8">
        <f t="shared" si="59"/>
        <v>1248</v>
      </c>
      <c r="EN19" s="8">
        <f t="shared" si="60"/>
        <v>2012</v>
      </c>
      <c r="EO19" s="12">
        <f t="shared" si="61"/>
        <v>-764</v>
      </c>
      <c r="EP19" s="12"/>
      <c r="EQ19" s="8">
        <f t="shared" si="62"/>
        <v>55298</v>
      </c>
      <c r="ER19" s="8">
        <f t="shared" si="63"/>
        <v>1174</v>
      </c>
      <c r="ES19" s="8">
        <f t="shared" si="64"/>
        <v>3401</v>
      </c>
      <c r="ET19" s="12">
        <f t="shared" si="65"/>
        <v>-2227</v>
      </c>
      <c r="EU19" s="12"/>
      <c r="EV19" s="8">
        <f t="shared" si="66"/>
        <v>1032382</v>
      </c>
      <c r="EW19" s="8">
        <f t="shared" si="67"/>
        <v>39685</v>
      </c>
      <c r="EX19" s="8">
        <f t="shared" si="68"/>
        <v>69418</v>
      </c>
      <c r="EY19" s="12">
        <f t="shared" si="69"/>
        <v>-29733</v>
      </c>
      <c r="EZ19" s="12"/>
      <c r="FA19" s="9">
        <f>1032382-591635</f>
        <v>440747</v>
      </c>
      <c r="FB19" s="9">
        <f>39685-17068</f>
        <v>22617</v>
      </c>
      <c r="FC19" s="9">
        <f>69418-36151</f>
        <v>33267</v>
      </c>
      <c r="FD19" s="12">
        <f t="shared" si="70"/>
        <v>-10650</v>
      </c>
      <c r="FE19" s="12"/>
      <c r="FF19" s="9">
        <v>591635</v>
      </c>
      <c r="FG19" s="9">
        <v>17068</v>
      </c>
      <c r="FH19" s="9">
        <v>36151</v>
      </c>
      <c r="FI19" s="12">
        <f t="shared" si="71"/>
        <v>-19083</v>
      </c>
    </row>
    <row r="20" spans="1:165" ht="12">
      <c r="A20" s="1" t="s">
        <v>27</v>
      </c>
      <c r="B20" s="8">
        <f t="shared" si="0"/>
        <v>7008</v>
      </c>
      <c r="C20" s="8">
        <f t="shared" si="1"/>
        <v>280</v>
      </c>
      <c r="D20" s="8">
        <f t="shared" si="2"/>
        <v>431</v>
      </c>
      <c r="E20" s="12">
        <f t="shared" si="3"/>
        <v>-151</v>
      </c>
      <c r="F20" s="12"/>
      <c r="G20" s="9">
        <v>3003</v>
      </c>
      <c r="H20" s="9">
        <v>178</v>
      </c>
      <c r="I20" s="9">
        <v>174</v>
      </c>
      <c r="J20" s="12">
        <f t="shared" si="4"/>
        <v>4</v>
      </c>
      <c r="K20" s="12"/>
      <c r="L20" s="9">
        <v>4005</v>
      </c>
      <c r="M20" s="9">
        <v>102</v>
      </c>
      <c r="N20" s="9">
        <v>257</v>
      </c>
      <c r="O20" s="12">
        <f t="shared" si="5"/>
        <v>-155</v>
      </c>
      <c r="P20" s="12"/>
      <c r="Q20" s="8">
        <f t="shared" si="6"/>
        <v>7709</v>
      </c>
      <c r="R20" s="8">
        <f t="shared" si="7"/>
        <v>275</v>
      </c>
      <c r="S20" s="8">
        <f t="shared" si="8"/>
        <v>560</v>
      </c>
      <c r="T20" s="12">
        <f t="shared" si="9"/>
        <v>-285</v>
      </c>
      <c r="U20" s="12"/>
      <c r="V20" s="9">
        <v>2962</v>
      </c>
      <c r="W20" s="9">
        <v>187</v>
      </c>
      <c r="X20" s="9">
        <v>160</v>
      </c>
      <c r="Y20" s="12">
        <f t="shared" si="10"/>
        <v>27</v>
      </c>
      <c r="Z20" s="12"/>
      <c r="AA20" s="9">
        <v>4747</v>
      </c>
      <c r="AB20" s="9">
        <v>88</v>
      </c>
      <c r="AC20" s="9">
        <v>400</v>
      </c>
      <c r="AD20" s="12">
        <f t="shared" si="11"/>
        <v>-312</v>
      </c>
      <c r="AE20" s="12"/>
      <c r="AF20" s="8">
        <f t="shared" si="12"/>
        <v>9230</v>
      </c>
      <c r="AG20" s="8">
        <f t="shared" si="13"/>
        <v>262</v>
      </c>
      <c r="AH20" s="8">
        <f t="shared" si="14"/>
        <v>719</v>
      </c>
      <c r="AI20" s="12">
        <f t="shared" si="15"/>
        <v>-457</v>
      </c>
      <c r="AJ20" s="12"/>
      <c r="AK20" s="9">
        <v>3663</v>
      </c>
      <c r="AL20" s="9">
        <v>167</v>
      </c>
      <c r="AM20" s="9">
        <v>258</v>
      </c>
      <c r="AN20" s="12">
        <f t="shared" si="16"/>
        <v>-91</v>
      </c>
      <c r="AO20" s="12"/>
      <c r="AP20" s="9">
        <v>5567</v>
      </c>
      <c r="AQ20" s="9">
        <v>95</v>
      </c>
      <c r="AR20" s="9">
        <v>461</v>
      </c>
      <c r="AS20" s="12">
        <f t="shared" si="17"/>
        <v>-366</v>
      </c>
      <c r="AT20" s="12"/>
      <c r="AU20" s="8">
        <f t="shared" si="18"/>
        <v>11176</v>
      </c>
      <c r="AV20" s="8">
        <f t="shared" si="19"/>
        <v>389</v>
      </c>
      <c r="AW20" s="8">
        <f t="shared" si="20"/>
        <v>658</v>
      </c>
      <c r="AX20" s="12">
        <f t="shared" si="21"/>
        <v>-269</v>
      </c>
      <c r="AY20" s="12"/>
      <c r="AZ20" s="9">
        <v>3886</v>
      </c>
      <c r="BA20" s="9">
        <v>196</v>
      </c>
      <c r="BB20" s="9">
        <v>270</v>
      </c>
      <c r="BC20" s="12">
        <f t="shared" si="22"/>
        <v>-74</v>
      </c>
      <c r="BD20" s="12"/>
      <c r="BE20" s="9">
        <v>7290</v>
      </c>
      <c r="BF20" s="9">
        <v>193</v>
      </c>
      <c r="BG20" s="9">
        <v>388</v>
      </c>
      <c r="BH20" s="12">
        <f t="shared" si="23"/>
        <v>-195</v>
      </c>
      <c r="BI20" s="12"/>
      <c r="BJ20" s="8">
        <f t="shared" si="24"/>
        <v>12859</v>
      </c>
      <c r="BK20" s="8">
        <f t="shared" si="25"/>
        <v>376</v>
      </c>
      <c r="BL20" s="8">
        <f t="shared" si="26"/>
        <v>903</v>
      </c>
      <c r="BM20" s="12">
        <f t="shared" si="27"/>
        <v>-527</v>
      </c>
      <c r="BN20" s="12"/>
      <c r="BO20" s="9">
        <v>3314</v>
      </c>
      <c r="BP20" s="9">
        <v>206</v>
      </c>
      <c r="BQ20" s="9">
        <v>193</v>
      </c>
      <c r="BR20" s="12">
        <f t="shared" si="28"/>
        <v>13</v>
      </c>
      <c r="BS20" s="12"/>
      <c r="BT20" s="9">
        <v>9545</v>
      </c>
      <c r="BU20" s="9">
        <v>170</v>
      </c>
      <c r="BV20" s="9">
        <v>710</v>
      </c>
      <c r="BW20" s="12">
        <f t="shared" si="29"/>
        <v>-540</v>
      </c>
      <c r="BX20" s="12"/>
      <c r="BY20" s="8">
        <f t="shared" si="30"/>
        <v>9711</v>
      </c>
      <c r="BZ20" s="8">
        <f t="shared" si="31"/>
        <v>280</v>
      </c>
      <c r="CA20" s="8">
        <f t="shared" si="32"/>
        <v>706</v>
      </c>
      <c r="CB20" s="12">
        <f t="shared" si="33"/>
        <v>-426</v>
      </c>
      <c r="CC20" s="12"/>
      <c r="CD20" s="9">
        <v>4783</v>
      </c>
      <c r="CE20" s="9">
        <v>164</v>
      </c>
      <c r="CF20" s="9">
        <v>450</v>
      </c>
      <c r="CG20" s="12">
        <f t="shared" si="34"/>
        <v>-286</v>
      </c>
      <c r="CH20" s="12"/>
      <c r="CI20" s="9">
        <v>4928</v>
      </c>
      <c r="CJ20" s="9">
        <v>116</v>
      </c>
      <c r="CK20" s="9">
        <v>256</v>
      </c>
      <c r="CL20" s="12">
        <f t="shared" si="35"/>
        <v>-140</v>
      </c>
      <c r="CM20" s="12"/>
      <c r="CN20" s="8">
        <f t="shared" si="36"/>
        <v>10831</v>
      </c>
      <c r="CO20" s="8">
        <f t="shared" si="37"/>
        <v>275</v>
      </c>
      <c r="CP20" s="8">
        <f t="shared" si="38"/>
        <v>838</v>
      </c>
      <c r="CQ20" s="12">
        <f t="shared" si="39"/>
        <v>-563</v>
      </c>
      <c r="CR20" s="12"/>
      <c r="CS20" s="9">
        <v>4020</v>
      </c>
      <c r="CT20" s="9">
        <v>135</v>
      </c>
      <c r="CU20" s="9">
        <v>334</v>
      </c>
      <c r="CV20" s="12">
        <f t="shared" si="40"/>
        <v>-199</v>
      </c>
      <c r="CW20" s="12"/>
      <c r="CX20" s="9">
        <v>6811</v>
      </c>
      <c r="CY20" s="9">
        <v>140</v>
      </c>
      <c r="CZ20" s="9">
        <v>504</v>
      </c>
      <c r="DA20" s="12">
        <f t="shared" si="41"/>
        <v>-364</v>
      </c>
      <c r="DB20" s="12"/>
      <c r="DC20" s="8">
        <f t="shared" si="42"/>
        <v>10139</v>
      </c>
      <c r="DD20" s="8">
        <f t="shared" si="43"/>
        <v>252</v>
      </c>
      <c r="DE20" s="8">
        <f t="shared" si="44"/>
        <v>674</v>
      </c>
      <c r="DF20" s="12">
        <f t="shared" si="45"/>
        <v>-422</v>
      </c>
      <c r="DG20" s="12"/>
      <c r="DH20" s="9">
        <v>2210</v>
      </c>
      <c r="DI20" s="9">
        <v>102</v>
      </c>
      <c r="DJ20" s="9">
        <v>131</v>
      </c>
      <c r="DK20" s="12">
        <f t="shared" si="46"/>
        <v>-29</v>
      </c>
      <c r="DL20" s="12"/>
      <c r="DM20" s="9">
        <v>7929</v>
      </c>
      <c r="DN20" s="9">
        <v>150</v>
      </c>
      <c r="DO20" s="9">
        <v>543</v>
      </c>
      <c r="DP20" s="12">
        <f t="shared" si="47"/>
        <v>-393</v>
      </c>
      <c r="DQ20" s="12"/>
      <c r="DR20" s="8">
        <f t="shared" si="48"/>
        <v>3087</v>
      </c>
      <c r="DS20" s="8">
        <f t="shared" si="49"/>
        <v>99</v>
      </c>
      <c r="DT20" s="8">
        <f t="shared" si="50"/>
        <v>253</v>
      </c>
      <c r="DU20" s="12">
        <f t="shared" si="51"/>
        <v>-154</v>
      </c>
      <c r="DV20" s="12"/>
      <c r="DW20" s="9">
        <v>1093</v>
      </c>
      <c r="DX20" s="9">
        <v>48</v>
      </c>
      <c r="DY20" s="9">
        <v>120</v>
      </c>
      <c r="DZ20" s="12">
        <f t="shared" si="52"/>
        <v>-72</v>
      </c>
      <c r="EA20" s="12"/>
      <c r="EB20" s="9">
        <v>1994</v>
      </c>
      <c r="EC20" s="9">
        <v>51</v>
      </c>
      <c r="ED20" s="9">
        <v>133</v>
      </c>
      <c r="EE20" s="12">
        <f t="shared" si="53"/>
        <v>-82</v>
      </c>
      <c r="EF20" s="12"/>
      <c r="EG20" s="8">
        <f t="shared" si="54"/>
        <v>81750</v>
      </c>
      <c r="EH20" s="8">
        <f t="shared" si="55"/>
        <v>2488</v>
      </c>
      <c r="EI20" s="8">
        <f t="shared" si="56"/>
        <v>5742</v>
      </c>
      <c r="EJ20" s="12">
        <f t="shared" si="57"/>
        <v>-3254</v>
      </c>
      <c r="EK20" s="12"/>
      <c r="EL20" s="8">
        <f t="shared" si="58"/>
        <v>28934</v>
      </c>
      <c r="EM20" s="8">
        <f t="shared" si="59"/>
        <v>1383</v>
      </c>
      <c r="EN20" s="8">
        <f t="shared" si="60"/>
        <v>2090</v>
      </c>
      <c r="EO20" s="12">
        <f t="shared" si="61"/>
        <v>-707</v>
      </c>
      <c r="EP20" s="12"/>
      <c r="EQ20" s="8">
        <f t="shared" si="62"/>
        <v>52816</v>
      </c>
      <c r="ER20" s="8">
        <f t="shared" si="63"/>
        <v>1105</v>
      </c>
      <c r="ES20" s="8">
        <f t="shared" si="64"/>
        <v>3652</v>
      </c>
      <c r="ET20" s="12">
        <f t="shared" si="65"/>
        <v>-2547</v>
      </c>
      <c r="EU20" s="12"/>
      <c r="EV20" s="8">
        <f t="shared" si="66"/>
        <v>1006957</v>
      </c>
      <c r="EW20" s="8">
        <f t="shared" si="67"/>
        <v>38353</v>
      </c>
      <c r="EX20" s="8">
        <f t="shared" si="68"/>
        <v>65782</v>
      </c>
      <c r="EY20" s="12">
        <f t="shared" si="69"/>
        <v>-27429</v>
      </c>
      <c r="EZ20" s="12"/>
      <c r="FA20" s="9">
        <v>433806</v>
      </c>
      <c r="FB20" s="9">
        <v>22287</v>
      </c>
      <c r="FC20" s="9">
        <v>30677</v>
      </c>
      <c r="FD20" s="12">
        <f t="shared" si="70"/>
        <v>-8390</v>
      </c>
      <c r="FE20" s="12"/>
      <c r="FF20" s="9">
        <v>573151</v>
      </c>
      <c r="FG20" s="9">
        <v>16066</v>
      </c>
      <c r="FH20" s="9">
        <v>35105</v>
      </c>
      <c r="FI20" s="12">
        <f t="shared" si="71"/>
        <v>-19039</v>
      </c>
    </row>
    <row r="21" spans="1:165" ht="12">
      <c r="A21" s="1" t="s">
        <v>28</v>
      </c>
      <c r="B21" s="8">
        <f t="shared" si="0"/>
        <v>6861</v>
      </c>
      <c r="C21" s="8">
        <f t="shared" si="1"/>
        <v>298</v>
      </c>
      <c r="D21" s="8">
        <f t="shared" si="2"/>
        <v>463</v>
      </c>
      <c r="E21" s="12">
        <f t="shared" si="3"/>
        <v>-165</v>
      </c>
      <c r="F21" s="12"/>
      <c r="G21" s="9">
        <f>6861-3831</f>
        <v>3030</v>
      </c>
      <c r="H21" s="9">
        <f>298-88</f>
        <v>210</v>
      </c>
      <c r="I21" s="9">
        <f>463-259</f>
        <v>204</v>
      </c>
      <c r="J21" s="12">
        <f t="shared" si="4"/>
        <v>6</v>
      </c>
      <c r="K21" s="12"/>
      <c r="L21" s="9">
        <v>3831</v>
      </c>
      <c r="M21" s="9">
        <v>88</v>
      </c>
      <c r="N21" s="9">
        <v>259</v>
      </c>
      <c r="O21" s="12">
        <f t="shared" si="5"/>
        <v>-171</v>
      </c>
      <c r="P21" s="12"/>
      <c r="Q21" s="8">
        <f t="shared" si="6"/>
        <v>7489</v>
      </c>
      <c r="R21" s="8">
        <f t="shared" si="7"/>
        <v>229</v>
      </c>
      <c r="S21" s="8">
        <f t="shared" si="8"/>
        <v>460</v>
      </c>
      <c r="T21" s="12">
        <f t="shared" si="9"/>
        <v>-231</v>
      </c>
      <c r="U21" s="12"/>
      <c r="V21" s="9">
        <f>7489-4532</f>
        <v>2957</v>
      </c>
      <c r="W21" s="9">
        <f>229-108</f>
        <v>121</v>
      </c>
      <c r="X21" s="9">
        <f>460-327</f>
        <v>133</v>
      </c>
      <c r="Y21" s="12">
        <f t="shared" si="10"/>
        <v>-12</v>
      </c>
      <c r="Z21" s="12"/>
      <c r="AA21" s="9">
        <v>4532</v>
      </c>
      <c r="AB21" s="9">
        <v>108</v>
      </c>
      <c r="AC21" s="9">
        <v>327</v>
      </c>
      <c r="AD21" s="12">
        <f t="shared" si="11"/>
        <v>-219</v>
      </c>
      <c r="AE21" s="12"/>
      <c r="AF21" s="8">
        <f t="shared" si="12"/>
        <v>8935</v>
      </c>
      <c r="AG21" s="8">
        <f t="shared" si="13"/>
        <v>236</v>
      </c>
      <c r="AH21" s="8">
        <f t="shared" si="14"/>
        <v>557</v>
      </c>
      <c r="AI21" s="12">
        <f t="shared" si="15"/>
        <v>-321</v>
      </c>
      <c r="AJ21" s="12"/>
      <c r="AK21" s="9">
        <f>8935-5334</f>
        <v>3601</v>
      </c>
      <c r="AL21" s="9">
        <f>236-70</f>
        <v>166</v>
      </c>
      <c r="AM21" s="9">
        <f>557-307</f>
        <v>250</v>
      </c>
      <c r="AN21" s="12">
        <f t="shared" si="16"/>
        <v>-84</v>
      </c>
      <c r="AO21" s="12"/>
      <c r="AP21" s="9">
        <v>5334</v>
      </c>
      <c r="AQ21" s="9">
        <v>70</v>
      </c>
      <c r="AR21" s="9">
        <v>307</v>
      </c>
      <c r="AS21" s="12">
        <f t="shared" si="17"/>
        <v>-237</v>
      </c>
      <c r="AT21" s="12"/>
      <c r="AU21" s="8">
        <f t="shared" si="18"/>
        <v>10920</v>
      </c>
      <c r="AV21" s="8">
        <f t="shared" si="19"/>
        <v>389</v>
      </c>
      <c r="AW21" s="8">
        <f t="shared" si="20"/>
        <v>664</v>
      </c>
      <c r="AX21" s="12">
        <f t="shared" si="21"/>
        <v>-275</v>
      </c>
      <c r="AY21" s="12"/>
      <c r="AZ21" s="9">
        <f>10920-7051</f>
        <v>3869</v>
      </c>
      <c r="BA21" s="9">
        <f>389-172</f>
        <v>217</v>
      </c>
      <c r="BB21" s="9">
        <f>664-414</f>
        <v>250</v>
      </c>
      <c r="BC21" s="12">
        <f t="shared" si="22"/>
        <v>-33</v>
      </c>
      <c r="BD21" s="12"/>
      <c r="BE21" s="9">
        <v>7051</v>
      </c>
      <c r="BF21" s="9">
        <v>172</v>
      </c>
      <c r="BG21" s="9">
        <v>414</v>
      </c>
      <c r="BH21" s="12">
        <f t="shared" si="23"/>
        <v>-242</v>
      </c>
      <c r="BI21" s="12"/>
      <c r="BJ21" s="8">
        <f t="shared" si="24"/>
        <v>12453</v>
      </c>
      <c r="BK21" s="8">
        <f t="shared" si="25"/>
        <v>344</v>
      </c>
      <c r="BL21" s="8">
        <f t="shared" si="26"/>
        <v>759</v>
      </c>
      <c r="BM21" s="12">
        <f t="shared" si="27"/>
        <v>-415</v>
      </c>
      <c r="BN21" s="12"/>
      <c r="BO21" s="9">
        <f>12453-9139</f>
        <v>3314</v>
      </c>
      <c r="BP21" s="9">
        <f>344-167</f>
        <v>177</v>
      </c>
      <c r="BQ21" s="9">
        <f>759-568</f>
        <v>191</v>
      </c>
      <c r="BR21" s="12">
        <f t="shared" si="28"/>
        <v>-14</v>
      </c>
      <c r="BS21" s="12"/>
      <c r="BT21" s="9">
        <v>9139</v>
      </c>
      <c r="BU21" s="9">
        <v>167</v>
      </c>
      <c r="BV21" s="9">
        <v>568</v>
      </c>
      <c r="BW21" s="12">
        <f t="shared" si="29"/>
        <v>-401</v>
      </c>
      <c r="BX21" s="12"/>
      <c r="BY21" s="8">
        <f t="shared" si="30"/>
        <v>9295</v>
      </c>
      <c r="BZ21" s="8">
        <f t="shared" si="31"/>
        <v>334</v>
      </c>
      <c r="CA21" s="8">
        <f t="shared" si="32"/>
        <v>751</v>
      </c>
      <c r="CB21" s="12">
        <f t="shared" si="33"/>
        <v>-417</v>
      </c>
      <c r="CC21" s="12"/>
      <c r="CD21" s="9">
        <f>9295-4774</f>
        <v>4521</v>
      </c>
      <c r="CE21" s="9">
        <f>334-144</f>
        <v>190</v>
      </c>
      <c r="CF21" s="9">
        <f>751-296</f>
        <v>455</v>
      </c>
      <c r="CG21" s="12">
        <f t="shared" si="34"/>
        <v>-265</v>
      </c>
      <c r="CH21" s="12"/>
      <c r="CI21" s="9">
        <v>4774</v>
      </c>
      <c r="CJ21" s="9">
        <v>144</v>
      </c>
      <c r="CK21" s="9">
        <v>296</v>
      </c>
      <c r="CL21" s="12">
        <f t="shared" si="35"/>
        <v>-152</v>
      </c>
      <c r="CM21" s="12"/>
      <c r="CN21" s="8">
        <f t="shared" si="36"/>
        <v>10413</v>
      </c>
      <c r="CO21" s="8">
        <f t="shared" si="37"/>
        <v>235</v>
      </c>
      <c r="CP21" s="8">
        <f t="shared" si="38"/>
        <v>665</v>
      </c>
      <c r="CQ21" s="12">
        <f t="shared" si="39"/>
        <v>-430</v>
      </c>
      <c r="CR21" s="12"/>
      <c r="CS21" s="9">
        <f>10413-6577</f>
        <v>3836</v>
      </c>
      <c r="CT21" s="9">
        <f>235-126</f>
        <v>109</v>
      </c>
      <c r="CU21" s="9">
        <f>665-356</f>
        <v>309</v>
      </c>
      <c r="CV21" s="12">
        <f t="shared" si="40"/>
        <v>-200</v>
      </c>
      <c r="CW21" s="12"/>
      <c r="CX21" s="9">
        <v>6577</v>
      </c>
      <c r="CY21" s="9">
        <v>126</v>
      </c>
      <c r="CZ21" s="9">
        <v>356</v>
      </c>
      <c r="DA21" s="12">
        <f t="shared" si="41"/>
        <v>-230</v>
      </c>
      <c r="DB21" s="12"/>
      <c r="DC21" s="8">
        <f t="shared" si="42"/>
        <v>9818</v>
      </c>
      <c r="DD21" s="8">
        <f t="shared" si="43"/>
        <v>241</v>
      </c>
      <c r="DE21" s="8">
        <f t="shared" si="44"/>
        <v>590</v>
      </c>
      <c r="DF21" s="12">
        <f t="shared" si="45"/>
        <v>-349</v>
      </c>
      <c r="DG21" s="12"/>
      <c r="DH21" s="9">
        <f>9818-7629</f>
        <v>2189</v>
      </c>
      <c r="DI21" s="9">
        <f>241-154</f>
        <v>87</v>
      </c>
      <c r="DJ21" s="9">
        <f>590-464</f>
        <v>126</v>
      </c>
      <c r="DK21" s="12">
        <f t="shared" si="46"/>
        <v>-39</v>
      </c>
      <c r="DL21" s="12"/>
      <c r="DM21" s="9">
        <v>7629</v>
      </c>
      <c r="DN21" s="9">
        <v>154</v>
      </c>
      <c r="DO21" s="9">
        <v>464</v>
      </c>
      <c r="DP21" s="12">
        <f t="shared" si="47"/>
        <v>-310</v>
      </c>
      <c r="DQ21" s="12"/>
      <c r="DR21" s="8">
        <f t="shared" si="48"/>
        <v>2975</v>
      </c>
      <c r="DS21" s="8">
        <f t="shared" si="49"/>
        <v>85</v>
      </c>
      <c r="DT21" s="8">
        <f t="shared" si="50"/>
        <v>201</v>
      </c>
      <c r="DU21" s="12">
        <f t="shared" si="51"/>
        <v>-116</v>
      </c>
      <c r="DV21" s="12"/>
      <c r="DW21" s="9">
        <f>2975-1911</f>
        <v>1064</v>
      </c>
      <c r="DX21" s="9">
        <f>85-41</f>
        <v>44</v>
      </c>
      <c r="DY21" s="9">
        <f>201-119</f>
        <v>82</v>
      </c>
      <c r="DZ21" s="12">
        <f t="shared" si="52"/>
        <v>-38</v>
      </c>
      <c r="EA21" s="12"/>
      <c r="EB21" s="9">
        <v>1911</v>
      </c>
      <c r="EC21" s="9">
        <v>41</v>
      </c>
      <c r="ED21" s="9">
        <v>119</v>
      </c>
      <c r="EE21" s="12">
        <f t="shared" si="53"/>
        <v>-78</v>
      </c>
      <c r="EF21" s="12"/>
      <c r="EG21" s="8">
        <f t="shared" si="54"/>
        <v>79159</v>
      </c>
      <c r="EH21" s="8">
        <f t="shared" si="55"/>
        <v>2391</v>
      </c>
      <c r="EI21" s="8">
        <f t="shared" si="56"/>
        <v>5110</v>
      </c>
      <c r="EJ21" s="12">
        <f t="shared" si="57"/>
        <v>-2719</v>
      </c>
      <c r="EK21" s="12"/>
      <c r="EL21" s="8">
        <f t="shared" si="58"/>
        <v>28381</v>
      </c>
      <c r="EM21" s="8">
        <f t="shared" si="59"/>
        <v>1321</v>
      </c>
      <c r="EN21" s="8">
        <f t="shared" si="60"/>
        <v>2000</v>
      </c>
      <c r="EO21" s="12">
        <f t="shared" si="61"/>
        <v>-679</v>
      </c>
      <c r="EP21" s="12"/>
      <c r="EQ21" s="8">
        <f t="shared" si="62"/>
        <v>50778</v>
      </c>
      <c r="ER21" s="8">
        <f t="shared" si="63"/>
        <v>1070</v>
      </c>
      <c r="ES21" s="8">
        <f t="shared" si="64"/>
        <v>3110</v>
      </c>
      <c r="ET21" s="12">
        <f t="shared" si="65"/>
        <v>-2040</v>
      </c>
      <c r="EU21" s="12"/>
      <c r="EV21" s="8">
        <f t="shared" si="66"/>
        <v>986981</v>
      </c>
      <c r="EW21" s="8">
        <f t="shared" si="67"/>
        <v>34973</v>
      </c>
      <c r="EX21" s="8">
        <f t="shared" si="68"/>
        <v>57251</v>
      </c>
      <c r="EY21" s="12">
        <f t="shared" si="69"/>
        <v>-22278</v>
      </c>
      <c r="EZ21" s="12"/>
      <c r="FA21" s="9">
        <f>986981-FF21</f>
        <v>430613</v>
      </c>
      <c r="FB21" s="9">
        <f>34973-FG21</f>
        <v>21202</v>
      </c>
      <c r="FC21" s="9">
        <f>57251-FH21</f>
        <v>26043</v>
      </c>
      <c r="FD21" s="12">
        <f t="shared" si="70"/>
        <v>-4841</v>
      </c>
      <c r="FE21" s="12"/>
      <c r="FF21" s="9">
        <v>556368</v>
      </c>
      <c r="FG21" s="9">
        <v>13771</v>
      </c>
      <c r="FH21" s="9">
        <v>31208</v>
      </c>
      <c r="FI21" s="12">
        <f t="shared" si="71"/>
        <v>-17437</v>
      </c>
    </row>
    <row r="22" spans="1:165" ht="12">
      <c r="A22" s="1" t="s">
        <v>29</v>
      </c>
      <c r="B22" s="8">
        <f t="shared" si="0"/>
        <v>6684</v>
      </c>
      <c r="C22" s="8">
        <f t="shared" si="1"/>
        <v>201</v>
      </c>
      <c r="D22" s="8">
        <f t="shared" si="2"/>
        <v>401</v>
      </c>
      <c r="E22" s="12">
        <f t="shared" si="3"/>
        <v>-200</v>
      </c>
      <c r="F22" s="12"/>
      <c r="G22" s="9">
        <f>6684-3646</f>
        <v>3038</v>
      </c>
      <c r="H22" s="9">
        <f>201-51</f>
        <v>150</v>
      </c>
      <c r="I22" s="9">
        <f>401-234</f>
        <v>167</v>
      </c>
      <c r="J22" s="12">
        <f t="shared" si="4"/>
        <v>-17</v>
      </c>
      <c r="K22" s="12"/>
      <c r="L22" s="9">
        <v>3646</v>
      </c>
      <c r="M22" s="9">
        <v>51</v>
      </c>
      <c r="N22" s="9">
        <v>234</v>
      </c>
      <c r="O22" s="12">
        <f t="shared" si="5"/>
        <v>-183</v>
      </c>
      <c r="P22" s="12"/>
      <c r="Q22" s="8">
        <f t="shared" si="6"/>
        <v>7306</v>
      </c>
      <c r="R22" s="8">
        <f t="shared" si="7"/>
        <v>236</v>
      </c>
      <c r="S22" s="8">
        <f t="shared" si="8"/>
        <v>433</v>
      </c>
      <c r="T22" s="12">
        <f t="shared" si="9"/>
        <v>-197</v>
      </c>
      <c r="U22" s="12"/>
      <c r="V22" s="9">
        <f>7306-4343</f>
        <v>2963</v>
      </c>
      <c r="W22" s="9">
        <f>236-93</f>
        <v>143</v>
      </c>
      <c r="X22" s="9">
        <f>433-278</f>
        <v>155</v>
      </c>
      <c r="Y22" s="12">
        <f t="shared" si="10"/>
        <v>-12</v>
      </c>
      <c r="Z22" s="12"/>
      <c r="AA22" s="9">
        <v>4343</v>
      </c>
      <c r="AB22" s="9">
        <v>93</v>
      </c>
      <c r="AC22" s="9">
        <v>278</v>
      </c>
      <c r="AD22" s="12">
        <f t="shared" si="11"/>
        <v>-185</v>
      </c>
      <c r="AE22" s="12"/>
      <c r="AF22" s="8">
        <f t="shared" si="12"/>
        <v>8762</v>
      </c>
      <c r="AG22" s="8">
        <f t="shared" si="13"/>
        <v>266</v>
      </c>
      <c r="AH22" s="8">
        <f t="shared" si="14"/>
        <v>468</v>
      </c>
      <c r="AI22" s="12">
        <f t="shared" si="15"/>
        <v>-202</v>
      </c>
      <c r="AJ22" s="12"/>
      <c r="AK22" s="9">
        <f>8762-5166</f>
        <v>3596</v>
      </c>
      <c r="AL22" s="9">
        <f>266-89</f>
        <v>177</v>
      </c>
      <c r="AM22" s="9">
        <f>468-262</f>
        <v>206</v>
      </c>
      <c r="AN22" s="12">
        <f t="shared" si="16"/>
        <v>-29</v>
      </c>
      <c r="AO22" s="12"/>
      <c r="AP22" s="9">
        <v>5166</v>
      </c>
      <c r="AQ22" s="9">
        <v>89</v>
      </c>
      <c r="AR22" s="9">
        <v>262</v>
      </c>
      <c r="AS22" s="12">
        <f t="shared" si="17"/>
        <v>-173</v>
      </c>
      <c r="AT22" s="12"/>
      <c r="AU22" s="8">
        <f t="shared" si="18"/>
        <v>10561</v>
      </c>
      <c r="AV22" s="8">
        <f t="shared" si="19"/>
        <v>347</v>
      </c>
      <c r="AW22" s="8">
        <f t="shared" si="20"/>
        <v>738</v>
      </c>
      <c r="AX22" s="12">
        <f t="shared" si="21"/>
        <v>-391</v>
      </c>
      <c r="AY22" s="12"/>
      <c r="AZ22" s="9">
        <f>10561-6748</f>
        <v>3813</v>
      </c>
      <c r="BA22" s="9">
        <f>347-169</f>
        <v>178</v>
      </c>
      <c r="BB22" s="9">
        <f>738-478</f>
        <v>260</v>
      </c>
      <c r="BC22" s="12">
        <f t="shared" si="22"/>
        <v>-82</v>
      </c>
      <c r="BD22" s="12"/>
      <c r="BE22" s="9">
        <v>6748</v>
      </c>
      <c r="BF22" s="9">
        <v>169</v>
      </c>
      <c r="BG22" s="9">
        <v>478</v>
      </c>
      <c r="BH22" s="12">
        <f t="shared" si="23"/>
        <v>-309</v>
      </c>
      <c r="BI22" s="12"/>
      <c r="BJ22" s="8">
        <f t="shared" si="24"/>
        <v>12064</v>
      </c>
      <c r="BK22" s="8">
        <f t="shared" si="25"/>
        <v>304</v>
      </c>
      <c r="BL22" s="8">
        <f t="shared" si="26"/>
        <v>717</v>
      </c>
      <c r="BM22" s="12">
        <f t="shared" si="27"/>
        <v>-413</v>
      </c>
      <c r="BN22" s="12"/>
      <c r="BO22" s="9">
        <f>12064-8732</f>
        <v>3332</v>
      </c>
      <c r="BP22" s="9">
        <f>304-146</f>
        <v>158</v>
      </c>
      <c r="BQ22" s="9">
        <f>717-549</f>
        <v>168</v>
      </c>
      <c r="BR22" s="12">
        <f t="shared" si="28"/>
        <v>-10</v>
      </c>
      <c r="BS22" s="12"/>
      <c r="BT22" s="9">
        <v>8732</v>
      </c>
      <c r="BU22" s="9">
        <v>146</v>
      </c>
      <c r="BV22" s="9">
        <v>549</v>
      </c>
      <c r="BW22" s="12">
        <f t="shared" si="29"/>
        <v>-403</v>
      </c>
      <c r="BX22" s="12"/>
      <c r="BY22" s="8">
        <f t="shared" si="30"/>
        <v>9043</v>
      </c>
      <c r="BZ22" s="8">
        <f t="shared" si="31"/>
        <v>282</v>
      </c>
      <c r="CA22" s="8">
        <f t="shared" si="32"/>
        <v>545</v>
      </c>
      <c r="CB22" s="12">
        <f t="shared" si="33"/>
        <v>-263</v>
      </c>
      <c r="CC22" s="12"/>
      <c r="CD22" s="9">
        <f>9043-4692</f>
        <v>4351</v>
      </c>
      <c r="CE22" s="9">
        <f>282-107</f>
        <v>175</v>
      </c>
      <c r="CF22" s="9">
        <f>545-190</f>
        <v>355</v>
      </c>
      <c r="CG22" s="12">
        <f t="shared" si="34"/>
        <v>-180</v>
      </c>
      <c r="CH22" s="12"/>
      <c r="CI22" s="9">
        <v>4692</v>
      </c>
      <c r="CJ22" s="9">
        <v>107</v>
      </c>
      <c r="CK22" s="9">
        <v>190</v>
      </c>
      <c r="CL22" s="12">
        <f t="shared" si="35"/>
        <v>-83</v>
      </c>
      <c r="CM22" s="12"/>
      <c r="CN22" s="8">
        <f t="shared" si="36"/>
        <v>10140</v>
      </c>
      <c r="CO22" s="8">
        <f t="shared" si="37"/>
        <v>267</v>
      </c>
      <c r="CP22" s="8">
        <f t="shared" si="38"/>
        <v>556</v>
      </c>
      <c r="CQ22" s="12">
        <f t="shared" si="39"/>
        <v>-289</v>
      </c>
      <c r="CR22" s="12"/>
      <c r="CS22" s="9">
        <f>10140-6380</f>
        <v>3760</v>
      </c>
      <c r="CT22" s="9">
        <f>267-119</f>
        <v>148</v>
      </c>
      <c r="CU22" s="9">
        <f>556-324</f>
        <v>232</v>
      </c>
      <c r="CV22" s="12">
        <f t="shared" si="40"/>
        <v>-84</v>
      </c>
      <c r="CW22" s="12"/>
      <c r="CX22" s="9">
        <v>6380</v>
      </c>
      <c r="CY22" s="9">
        <v>119</v>
      </c>
      <c r="CZ22" s="9">
        <v>324</v>
      </c>
      <c r="DA22" s="12">
        <f t="shared" si="41"/>
        <v>-205</v>
      </c>
      <c r="DB22" s="12"/>
      <c r="DC22" s="8">
        <f t="shared" si="42"/>
        <v>9502</v>
      </c>
      <c r="DD22" s="8">
        <f t="shared" si="43"/>
        <v>268</v>
      </c>
      <c r="DE22" s="8">
        <f t="shared" si="44"/>
        <v>608</v>
      </c>
      <c r="DF22" s="12">
        <f t="shared" si="45"/>
        <v>-340</v>
      </c>
      <c r="DG22" s="12"/>
      <c r="DH22" s="9">
        <f>9502-7290</f>
        <v>2212</v>
      </c>
      <c r="DI22" s="9">
        <f>268-146</f>
        <v>122</v>
      </c>
      <c r="DJ22" s="9">
        <f>608-491</f>
        <v>117</v>
      </c>
      <c r="DK22" s="12">
        <f t="shared" si="46"/>
        <v>5</v>
      </c>
      <c r="DL22" s="12"/>
      <c r="DM22" s="9">
        <v>7290</v>
      </c>
      <c r="DN22" s="9">
        <v>146</v>
      </c>
      <c r="DO22" s="9">
        <v>491</v>
      </c>
      <c r="DP22" s="12">
        <f t="shared" si="47"/>
        <v>-345</v>
      </c>
      <c r="DQ22" s="12"/>
      <c r="DR22" s="8">
        <f t="shared" si="48"/>
        <v>2878</v>
      </c>
      <c r="DS22" s="8">
        <f t="shared" si="49"/>
        <v>80</v>
      </c>
      <c r="DT22" s="8">
        <f t="shared" si="50"/>
        <v>187</v>
      </c>
      <c r="DU22" s="12">
        <f t="shared" si="51"/>
        <v>-107</v>
      </c>
      <c r="DV22" s="12"/>
      <c r="DW22" s="9">
        <f>2878-1831</f>
        <v>1047</v>
      </c>
      <c r="DX22" s="9">
        <f>80-33</f>
        <v>47</v>
      </c>
      <c r="DY22" s="9">
        <f>187-116</f>
        <v>71</v>
      </c>
      <c r="DZ22" s="12">
        <f t="shared" si="52"/>
        <v>-24</v>
      </c>
      <c r="EA22" s="12"/>
      <c r="EB22" s="9">
        <v>1831</v>
      </c>
      <c r="EC22" s="9">
        <v>33</v>
      </c>
      <c r="ED22" s="9">
        <v>116</v>
      </c>
      <c r="EE22" s="12">
        <f t="shared" si="53"/>
        <v>-83</v>
      </c>
      <c r="EF22" s="12"/>
      <c r="EG22" s="8">
        <f t="shared" si="54"/>
        <v>76940</v>
      </c>
      <c r="EH22" s="8">
        <f t="shared" si="55"/>
        <v>2251</v>
      </c>
      <c r="EI22" s="8">
        <f t="shared" si="56"/>
        <v>4653</v>
      </c>
      <c r="EJ22" s="12">
        <f t="shared" si="57"/>
        <v>-2402</v>
      </c>
      <c r="EK22" s="12"/>
      <c r="EL22" s="8">
        <f t="shared" si="58"/>
        <v>28112</v>
      </c>
      <c r="EM22" s="8">
        <f t="shared" si="59"/>
        <v>1298</v>
      </c>
      <c r="EN22" s="8">
        <f t="shared" si="60"/>
        <v>1731</v>
      </c>
      <c r="EO22" s="12">
        <f t="shared" si="61"/>
        <v>-433</v>
      </c>
      <c r="EP22" s="12"/>
      <c r="EQ22" s="8">
        <f t="shared" si="62"/>
        <v>48828</v>
      </c>
      <c r="ER22" s="8">
        <f t="shared" si="63"/>
        <v>953</v>
      </c>
      <c r="ES22" s="8">
        <f t="shared" si="64"/>
        <v>2922</v>
      </c>
      <c r="ET22" s="12">
        <f t="shared" si="65"/>
        <v>-1969</v>
      </c>
      <c r="EU22" s="12"/>
      <c r="EV22" s="8">
        <f t="shared" si="66"/>
        <v>972940</v>
      </c>
      <c r="EW22" s="8">
        <f t="shared" si="67"/>
        <v>36051</v>
      </c>
      <c r="EX22" s="8">
        <f t="shared" si="68"/>
        <v>52521</v>
      </c>
      <c r="EY22" s="12">
        <f t="shared" si="69"/>
        <v>-16470</v>
      </c>
      <c r="EZ22" s="12"/>
      <c r="FA22" s="9">
        <f>972940-541308</f>
        <v>431632</v>
      </c>
      <c r="FB22" s="9">
        <f>36051-12017</f>
        <v>24034</v>
      </c>
      <c r="FC22" s="9">
        <f>52521-27615</f>
        <v>24906</v>
      </c>
      <c r="FD22" s="12">
        <f t="shared" si="70"/>
        <v>-872</v>
      </c>
      <c r="FE22" s="12"/>
      <c r="FF22" s="9">
        <v>541308</v>
      </c>
      <c r="FG22" s="9">
        <v>12017</v>
      </c>
      <c r="FH22" s="9">
        <v>27615</v>
      </c>
      <c r="FI22" s="12">
        <f t="shared" si="71"/>
        <v>-15598</v>
      </c>
    </row>
    <row r="23" spans="1:165" ht="12">
      <c r="A23" s="1" t="s">
        <v>30</v>
      </c>
      <c r="B23" s="8">
        <f t="shared" si="0"/>
        <v>6598</v>
      </c>
      <c r="C23" s="8">
        <f t="shared" si="1"/>
        <v>195</v>
      </c>
      <c r="D23" s="8">
        <f t="shared" si="2"/>
        <v>310</v>
      </c>
      <c r="E23" s="12">
        <f t="shared" si="3"/>
        <v>-115</v>
      </c>
      <c r="F23" s="12"/>
      <c r="G23" s="9">
        <f>6598-3579</f>
        <v>3019</v>
      </c>
      <c r="H23" s="9">
        <f>195-87</f>
        <v>108</v>
      </c>
      <c r="I23" s="9">
        <f>310-157</f>
        <v>153</v>
      </c>
      <c r="J23" s="12">
        <f t="shared" si="4"/>
        <v>-45</v>
      </c>
      <c r="K23" s="12"/>
      <c r="L23" s="9">
        <v>3579</v>
      </c>
      <c r="M23" s="9">
        <v>87</v>
      </c>
      <c r="N23" s="9">
        <v>157</v>
      </c>
      <c r="O23" s="12">
        <f t="shared" si="5"/>
        <v>-70</v>
      </c>
      <c r="P23" s="12"/>
      <c r="Q23" s="8">
        <f t="shared" si="6"/>
        <v>7296</v>
      </c>
      <c r="R23" s="8">
        <f t="shared" si="7"/>
        <v>284</v>
      </c>
      <c r="S23" s="8">
        <f t="shared" si="8"/>
        <v>307</v>
      </c>
      <c r="T23" s="12">
        <f t="shared" si="9"/>
        <v>-23</v>
      </c>
      <c r="U23" s="12"/>
      <c r="V23" s="9">
        <f>7296-4240</f>
        <v>3056</v>
      </c>
      <c r="W23" s="9">
        <f>284-88</f>
        <v>196</v>
      </c>
      <c r="X23" s="9">
        <f>307-191</f>
        <v>116</v>
      </c>
      <c r="Y23" s="12">
        <f t="shared" si="10"/>
        <v>80</v>
      </c>
      <c r="Z23" s="12"/>
      <c r="AA23" s="9">
        <v>4240</v>
      </c>
      <c r="AB23" s="9">
        <v>88</v>
      </c>
      <c r="AC23" s="9">
        <v>191</v>
      </c>
      <c r="AD23" s="12">
        <f t="shared" si="11"/>
        <v>-103</v>
      </c>
      <c r="AE23" s="12"/>
      <c r="AF23" s="8">
        <f t="shared" si="12"/>
        <v>8547</v>
      </c>
      <c r="AG23" s="8">
        <f t="shared" si="13"/>
        <v>241</v>
      </c>
      <c r="AH23" s="8">
        <f t="shared" si="14"/>
        <v>463</v>
      </c>
      <c r="AI23" s="12">
        <f t="shared" si="15"/>
        <v>-222</v>
      </c>
      <c r="AJ23" s="12"/>
      <c r="AK23" s="9">
        <f>8547-4955</f>
        <v>3592</v>
      </c>
      <c r="AL23" s="9">
        <f>241-72</f>
        <v>169</v>
      </c>
      <c r="AM23" s="9">
        <f>463-286</f>
        <v>177</v>
      </c>
      <c r="AN23" s="12">
        <f t="shared" si="16"/>
        <v>-8</v>
      </c>
      <c r="AO23" s="12"/>
      <c r="AP23" s="9">
        <v>4955</v>
      </c>
      <c r="AQ23" s="9">
        <v>72</v>
      </c>
      <c r="AR23" s="9">
        <v>286</v>
      </c>
      <c r="AS23" s="12">
        <f t="shared" si="17"/>
        <v>-214</v>
      </c>
      <c r="AT23" s="12"/>
      <c r="AU23" s="8">
        <f t="shared" si="18"/>
        <v>10287</v>
      </c>
      <c r="AV23" s="8">
        <f t="shared" si="19"/>
        <v>304</v>
      </c>
      <c r="AW23" s="8">
        <f t="shared" si="20"/>
        <v>616</v>
      </c>
      <c r="AX23" s="12">
        <f t="shared" si="21"/>
        <v>-312</v>
      </c>
      <c r="AY23" s="12"/>
      <c r="AZ23" s="9">
        <f>10287-6494</f>
        <v>3793</v>
      </c>
      <c r="BA23" s="9">
        <f>304-122</f>
        <v>182</v>
      </c>
      <c r="BB23" s="9">
        <f>616-385</f>
        <v>231</v>
      </c>
      <c r="BC23" s="12">
        <f t="shared" si="22"/>
        <v>-49</v>
      </c>
      <c r="BD23" s="12"/>
      <c r="BE23" s="9">
        <v>6494</v>
      </c>
      <c r="BF23" s="9">
        <v>122</v>
      </c>
      <c r="BG23" s="9">
        <v>385</v>
      </c>
      <c r="BH23" s="12">
        <f t="shared" si="23"/>
        <v>-263</v>
      </c>
      <c r="BI23" s="12"/>
      <c r="BJ23" s="8">
        <f t="shared" si="24"/>
        <v>11789</v>
      </c>
      <c r="BK23" s="8">
        <f t="shared" si="25"/>
        <v>311</v>
      </c>
      <c r="BL23" s="8">
        <f t="shared" si="26"/>
        <v>598</v>
      </c>
      <c r="BM23" s="12">
        <f t="shared" si="27"/>
        <v>-287</v>
      </c>
      <c r="BN23" s="12"/>
      <c r="BO23" s="9">
        <f>11789-8425</f>
        <v>3364</v>
      </c>
      <c r="BP23" s="9">
        <f>311-143</f>
        <v>168</v>
      </c>
      <c r="BQ23" s="9">
        <f>598-445</f>
        <v>153</v>
      </c>
      <c r="BR23" s="12">
        <f t="shared" si="28"/>
        <v>15</v>
      </c>
      <c r="BS23" s="12"/>
      <c r="BT23" s="9">
        <v>8425</v>
      </c>
      <c r="BU23" s="9">
        <v>143</v>
      </c>
      <c r="BV23" s="9">
        <v>445</v>
      </c>
      <c r="BW23" s="12">
        <f t="shared" si="29"/>
        <v>-302</v>
      </c>
      <c r="BX23" s="12"/>
      <c r="BY23" s="8">
        <f t="shared" si="30"/>
        <v>8832</v>
      </c>
      <c r="BZ23" s="8">
        <f t="shared" si="31"/>
        <v>229</v>
      </c>
      <c r="CA23" s="8">
        <f t="shared" si="32"/>
        <v>451</v>
      </c>
      <c r="CB23" s="12">
        <f t="shared" si="33"/>
        <v>-222</v>
      </c>
      <c r="CC23" s="12"/>
      <c r="CD23" s="9">
        <f>8832-4579</f>
        <v>4253</v>
      </c>
      <c r="CE23" s="9">
        <f>229-68</f>
        <v>161</v>
      </c>
      <c r="CF23" s="9">
        <f>451-175</f>
        <v>276</v>
      </c>
      <c r="CG23" s="12">
        <f t="shared" si="34"/>
        <v>-115</v>
      </c>
      <c r="CH23" s="12"/>
      <c r="CI23" s="9">
        <v>4579</v>
      </c>
      <c r="CJ23" s="9">
        <v>68</v>
      </c>
      <c r="CK23" s="9">
        <v>175</v>
      </c>
      <c r="CL23" s="12">
        <f t="shared" si="35"/>
        <v>-107</v>
      </c>
      <c r="CM23" s="12"/>
      <c r="CN23" s="8">
        <f t="shared" si="36"/>
        <v>9906</v>
      </c>
      <c r="CO23" s="8">
        <f t="shared" si="37"/>
        <v>230</v>
      </c>
      <c r="CP23" s="8">
        <f t="shared" si="38"/>
        <v>483</v>
      </c>
      <c r="CQ23" s="12">
        <f t="shared" si="39"/>
        <v>-253</v>
      </c>
      <c r="CR23" s="12"/>
      <c r="CS23" s="9">
        <f>9906-6224</f>
        <v>3682</v>
      </c>
      <c r="CT23" s="9">
        <f>230-106</f>
        <v>124</v>
      </c>
      <c r="CU23" s="9">
        <f>483-270</f>
        <v>213</v>
      </c>
      <c r="CV23" s="12">
        <f t="shared" si="40"/>
        <v>-89</v>
      </c>
      <c r="CW23" s="12"/>
      <c r="CX23" s="9">
        <v>6224</v>
      </c>
      <c r="CY23" s="9">
        <v>106</v>
      </c>
      <c r="CZ23" s="9">
        <v>270</v>
      </c>
      <c r="DA23" s="12">
        <f t="shared" si="41"/>
        <v>-164</v>
      </c>
      <c r="DB23" s="12"/>
      <c r="DC23" s="8">
        <f t="shared" si="42"/>
        <v>9236</v>
      </c>
      <c r="DD23" s="8">
        <f t="shared" si="43"/>
        <v>202</v>
      </c>
      <c r="DE23" s="8">
        <f t="shared" si="44"/>
        <v>487</v>
      </c>
      <c r="DF23" s="12">
        <f t="shared" si="45"/>
        <v>-285</v>
      </c>
      <c r="DG23" s="12"/>
      <c r="DH23" s="9">
        <f>9236-7031</f>
        <v>2205</v>
      </c>
      <c r="DI23" s="9">
        <f>202-102</f>
        <v>100</v>
      </c>
      <c r="DJ23" s="9">
        <f>487-371</f>
        <v>116</v>
      </c>
      <c r="DK23" s="12">
        <f t="shared" si="46"/>
        <v>-16</v>
      </c>
      <c r="DL23" s="12"/>
      <c r="DM23" s="9">
        <v>7031</v>
      </c>
      <c r="DN23" s="9">
        <v>102</v>
      </c>
      <c r="DO23" s="9">
        <v>371</v>
      </c>
      <c r="DP23" s="12">
        <f t="shared" si="47"/>
        <v>-269</v>
      </c>
      <c r="DQ23" s="12"/>
      <c r="DR23" s="8">
        <f t="shared" si="48"/>
        <v>2817</v>
      </c>
      <c r="DS23" s="8">
        <f t="shared" si="49"/>
        <v>84</v>
      </c>
      <c r="DT23" s="8">
        <f t="shared" si="50"/>
        <v>151</v>
      </c>
      <c r="DU23" s="12">
        <f t="shared" si="51"/>
        <v>-67</v>
      </c>
      <c r="DV23" s="12"/>
      <c r="DW23" s="9">
        <f>2817-1786</f>
        <v>1031</v>
      </c>
      <c r="DX23" s="9">
        <f>84-33</f>
        <v>51</v>
      </c>
      <c r="DY23" s="9">
        <f>151-83</f>
        <v>68</v>
      </c>
      <c r="DZ23" s="12">
        <f t="shared" si="52"/>
        <v>-17</v>
      </c>
      <c r="EA23" s="12"/>
      <c r="EB23" s="9">
        <v>1786</v>
      </c>
      <c r="EC23" s="9">
        <v>33</v>
      </c>
      <c r="ED23" s="9">
        <v>83</v>
      </c>
      <c r="EE23" s="12">
        <f t="shared" si="53"/>
        <v>-50</v>
      </c>
      <c r="EF23" s="12"/>
      <c r="EG23" s="8">
        <f t="shared" si="54"/>
        <v>75308</v>
      </c>
      <c r="EH23" s="8">
        <f t="shared" si="55"/>
        <v>2080</v>
      </c>
      <c r="EI23" s="8">
        <f t="shared" si="56"/>
        <v>3866</v>
      </c>
      <c r="EJ23" s="12">
        <f t="shared" si="57"/>
        <v>-1786</v>
      </c>
      <c r="EK23" s="12"/>
      <c r="EL23" s="8">
        <f t="shared" si="58"/>
        <v>27995</v>
      </c>
      <c r="EM23" s="8">
        <f t="shared" si="59"/>
        <v>1259</v>
      </c>
      <c r="EN23" s="8">
        <f t="shared" si="60"/>
        <v>1503</v>
      </c>
      <c r="EO23" s="12">
        <f t="shared" si="61"/>
        <v>-244</v>
      </c>
      <c r="EP23" s="12"/>
      <c r="EQ23" s="8">
        <f t="shared" si="62"/>
        <v>47313</v>
      </c>
      <c r="ER23" s="8">
        <f t="shared" si="63"/>
        <v>821</v>
      </c>
      <c r="ES23" s="8">
        <f t="shared" si="64"/>
        <v>2363</v>
      </c>
      <c r="ET23" s="12">
        <f t="shared" si="65"/>
        <v>-1542</v>
      </c>
      <c r="EU23" s="12"/>
      <c r="EV23" s="8">
        <f t="shared" si="66"/>
        <v>962840</v>
      </c>
      <c r="EW23" s="8">
        <f t="shared" si="67"/>
        <v>32535</v>
      </c>
      <c r="EX23" s="8">
        <f t="shared" si="68"/>
        <v>45146</v>
      </c>
      <c r="EY23" s="12">
        <f t="shared" si="69"/>
        <v>-12611</v>
      </c>
      <c r="EZ23" s="12"/>
      <c r="FA23" s="9">
        <f>962840-529022</f>
        <v>433818</v>
      </c>
      <c r="FB23" s="9">
        <f>32535-10830</f>
        <v>21705</v>
      </c>
      <c r="FC23" s="9">
        <f>45146-23536</f>
        <v>21610</v>
      </c>
      <c r="FD23" s="12">
        <f t="shared" si="70"/>
        <v>95</v>
      </c>
      <c r="FE23" s="12"/>
      <c r="FF23" s="9">
        <v>529022</v>
      </c>
      <c r="FG23" s="9">
        <v>10830</v>
      </c>
      <c r="FH23" s="9">
        <v>23536</v>
      </c>
      <c r="FI23" s="12">
        <f t="shared" si="71"/>
        <v>-12706</v>
      </c>
    </row>
    <row r="24" spans="1:165" ht="12">
      <c r="A24" s="1" t="s">
        <v>31</v>
      </c>
      <c r="B24" s="8">
        <f t="shared" si="0"/>
        <v>6416</v>
      </c>
      <c r="C24" s="8">
        <f t="shared" si="1"/>
        <v>151</v>
      </c>
      <c r="D24" s="8">
        <f t="shared" si="2"/>
        <v>346</v>
      </c>
      <c r="E24" s="12">
        <f t="shared" si="3"/>
        <v>-195</v>
      </c>
      <c r="F24" s="12"/>
      <c r="G24" s="9">
        <f>6416-3416</f>
        <v>3000</v>
      </c>
      <c r="H24" s="9">
        <f>151-43</f>
        <v>108</v>
      </c>
      <c r="I24" s="9">
        <f>346-204</f>
        <v>142</v>
      </c>
      <c r="J24" s="12">
        <f t="shared" si="4"/>
        <v>-34</v>
      </c>
      <c r="K24" s="12"/>
      <c r="L24" s="9">
        <v>3416</v>
      </c>
      <c r="M24" s="9">
        <v>43</v>
      </c>
      <c r="N24" s="9">
        <v>204</v>
      </c>
      <c r="O24" s="12">
        <f t="shared" si="5"/>
        <v>-161</v>
      </c>
      <c r="P24" s="12"/>
      <c r="Q24" s="8">
        <f t="shared" si="6"/>
        <v>7167</v>
      </c>
      <c r="R24" s="8">
        <f t="shared" si="7"/>
        <v>251</v>
      </c>
      <c r="S24" s="8">
        <f t="shared" si="8"/>
        <v>391</v>
      </c>
      <c r="T24" s="12">
        <f t="shared" si="9"/>
        <v>-140</v>
      </c>
      <c r="U24" s="12"/>
      <c r="V24" s="9">
        <f>7167-4079</f>
        <v>3088</v>
      </c>
      <c r="W24" s="9">
        <f>251-81</f>
        <v>170</v>
      </c>
      <c r="X24" s="9">
        <f>391-239</f>
        <v>152</v>
      </c>
      <c r="Y24" s="12">
        <f t="shared" si="10"/>
        <v>18</v>
      </c>
      <c r="Z24" s="12"/>
      <c r="AA24" s="9">
        <v>4079</v>
      </c>
      <c r="AB24" s="9">
        <v>81</v>
      </c>
      <c r="AC24" s="9">
        <v>239</v>
      </c>
      <c r="AD24" s="12">
        <f t="shared" si="11"/>
        <v>-158</v>
      </c>
      <c r="AE24" s="12"/>
      <c r="AF24" s="8">
        <f t="shared" si="12"/>
        <v>8312</v>
      </c>
      <c r="AG24" s="8">
        <f t="shared" si="13"/>
        <v>224</v>
      </c>
      <c r="AH24" s="8">
        <f t="shared" si="14"/>
        <v>471</v>
      </c>
      <c r="AI24" s="12">
        <f t="shared" si="15"/>
        <v>-247</v>
      </c>
      <c r="AJ24" s="12"/>
      <c r="AK24" s="9">
        <f>8312-4764</f>
        <v>3548</v>
      </c>
      <c r="AL24" s="9">
        <f>224-59</f>
        <v>165</v>
      </c>
      <c r="AM24" s="9">
        <f>471-253</f>
        <v>218</v>
      </c>
      <c r="AN24" s="12">
        <f t="shared" si="16"/>
        <v>-53</v>
      </c>
      <c r="AO24" s="12"/>
      <c r="AP24" s="9">
        <v>4764</v>
      </c>
      <c r="AQ24" s="9">
        <v>59</v>
      </c>
      <c r="AR24" s="9">
        <v>253</v>
      </c>
      <c r="AS24" s="12">
        <f t="shared" si="17"/>
        <v>-194</v>
      </c>
      <c r="AT24" s="12"/>
      <c r="AU24" s="8">
        <f t="shared" si="18"/>
        <v>10061</v>
      </c>
      <c r="AV24" s="8">
        <f t="shared" si="19"/>
        <v>247</v>
      </c>
      <c r="AW24" s="8">
        <f t="shared" si="20"/>
        <v>493</v>
      </c>
      <c r="AX24" s="12">
        <f t="shared" si="21"/>
        <v>-246</v>
      </c>
      <c r="AY24" s="12"/>
      <c r="AZ24" s="9">
        <f>10061-6281</f>
        <v>3780</v>
      </c>
      <c r="BA24" s="9">
        <f>247-91</f>
        <v>156</v>
      </c>
      <c r="BB24" s="9">
        <f>493-298</f>
        <v>195</v>
      </c>
      <c r="BC24" s="12">
        <f t="shared" si="22"/>
        <v>-39</v>
      </c>
      <c r="BD24" s="12"/>
      <c r="BE24" s="9">
        <v>6281</v>
      </c>
      <c r="BF24" s="9">
        <v>91</v>
      </c>
      <c r="BG24" s="9">
        <v>298</v>
      </c>
      <c r="BH24" s="12">
        <f t="shared" si="23"/>
        <v>-207</v>
      </c>
      <c r="BI24" s="12"/>
      <c r="BJ24" s="8">
        <f t="shared" si="24"/>
        <v>11395</v>
      </c>
      <c r="BK24" s="8">
        <f t="shared" si="25"/>
        <v>266</v>
      </c>
      <c r="BL24" s="8">
        <f t="shared" si="26"/>
        <v>670</v>
      </c>
      <c r="BM24" s="12">
        <f t="shared" si="27"/>
        <v>-404</v>
      </c>
      <c r="BN24" s="12"/>
      <c r="BO24" s="9">
        <f>11395-8046</f>
        <v>3349</v>
      </c>
      <c r="BP24" s="9">
        <f>266-122</f>
        <v>144</v>
      </c>
      <c r="BQ24" s="9">
        <f>670-494</f>
        <v>176</v>
      </c>
      <c r="BR24" s="12">
        <f t="shared" si="28"/>
        <v>-32</v>
      </c>
      <c r="BS24" s="12"/>
      <c r="BT24" s="9">
        <v>8046</v>
      </c>
      <c r="BU24" s="9">
        <v>122</v>
      </c>
      <c r="BV24" s="9">
        <v>494</v>
      </c>
      <c r="BW24" s="12">
        <f t="shared" si="29"/>
        <v>-372</v>
      </c>
      <c r="BX24" s="12"/>
      <c r="BY24" s="8">
        <f t="shared" si="30"/>
        <v>8561</v>
      </c>
      <c r="BZ24" s="8">
        <f t="shared" si="31"/>
        <v>259</v>
      </c>
      <c r="CA24" s="8">
        <f t="shared" si="32"/>
        <v>535</v>
      </c>
      <c r="CB24" s="12">
        <f t="shared" si="33"/>
        <v>-276</v>
      </c>
      <c r="CC24" s="12"/>
      <c r="CD24" s="9">
        <f>8561-4473</f>
        <v>4088</v>
      </c>
      <c r="CE24" s="9">
        <f>259-94</f>
        <v>165</v>
      </c>
      <c r="CF24" s="9">
        <f>535-208</f>
        <v>327</v>
      </c>
      <c r="CG24" s="12">
        <f t="shared" si="34"/>
        <v>-162</v>
      </c>
      <c r="CH24" s="12"/>
      <c r="CI24" s="9">
        <v>4473</v>
      </c>
      <c r="CJ24" s="9">
        <v>94</v>
      </c>
      <c r="CK24" s="9">
        <v>208</v>
      </c>
      <c r="CL24" s="12">
        <f t="shared" si="35"/>
        <v>-114</v>
      </c>
      <c r="CM24" s="12"/>
      <c r="CN24" s="8">
        <f t="shared" si="36"/>
        <v>9577</v>
      </c>
      <c r="CO24" s="8">
        <f t="shared" si="37"/>
        <v>186</v>
      </c>
      <c r="CP24" s="8">
        <f t="shared" si="38"/>
        <v>533</v>
      </c>
      <c r="CQ24" s="12">
        <f t="shared" si="39"/>
        <v>-347</v>
      </c>
      <c r="CR24" s="12"/>
      <c r="CS24" s="9">
        <f>9577-6006</f>
        <v>3571</v>
      </c>
      <c r="CT24" s="9">
        <f>186-94</f>
        <v>92</v>
      </c>
      <c r="CU24" s="9">
        <f>533-311</f>
        <v>222</v>
      </c>
      <c r="CV24" s="12">
        <f t="shared" si="40"/>
        <v>-130</v>
      </c>
      <c r="CW24" s="12"/>
      <c r="CX24" s="9">
        <v>6006</v>
      </c>
      <c r="CY24" s="9">
        <v>94</v>
      </c>
      <c r="CZ24" s="9">
        <v>311</v>
      </c>
      <c r="DA24" s="12">
        <f t="shared" si="41"/>
        <v>-217</v>
      </c>
      <c r="DB24" s="12"/>
      <c r="DC24" s="8">
        <f t="shared" si="42"/>
        <v>8967</v>
      </c>
      <c r="DD24" s="8">
        <f t="shared" si="43"/>
        <v>199</v>
      </c>
      <c r="DE24" s="8">
        <f t="shared" si="44"/>
        <v>497</v>
      </c>
      <c r="DF24" s="12">
        <f t="shared" si="45"/>
        <v>-298</v>
      </c>
      <c r="DG24" s="12"/>
      <c r="DH24" s="9">
        <f>8967-6750</f>
        <v>2217</v>
      </c>
      <c r="DI24" s="9">
        <f>199-100</f>
        <v>99</v>
      </c>
      <c r="DJ24" s="9">
        <f>497-385</f>
        <v>112</v>
      </c>
      <c r="DK24" s="12">
        <f t="shared" si="46"/>
        <v>-13</v>
      </c>
      <c r="DL24" s="12"/>
      <c r="DM24" s="9">
        <v>6750</v>
      </c>
      <c r="DN24" s="9">
        <v>100</v>
      </c>
      <c r="DO24" s="9">
        <v>385</v>
      </c>
      <c r="DP24" s="12">
        <f t="shared" si="47"/>
        <v>-285</v>
      </c>
      <c r="DQ24" s="12"/>
      <c r="DR24" s="8">
        <f t="shared" si="48"/>
        <v>2677</v>
      </c>
      <c r="DS24" s="8">
        <f t="shared" si="49"/>
        <v>47</v>
      </c>
      <c r="DT24" s="8">
        <f t="shared" si="50"/>
        <v>194</v>
      </c>
      <c r="DU24" s="12">
        <f t="shared" si="51"/>
        <v>-147</v>
      </c>
      <c r="DV24" s="12"/>
      <c r="DW24" s="9">
        <f>2677-1707</f>
        <v>970</v>
      </c>
      <c r="DX24" s="9">
        <f>47-25</f>
        <v>22</v>
      </c>
      <c r="DY24" s="9">
        <f>194-113</f>
        <v>81</v>
      </c>
      <c r="DZ24" s="12">
        <f t="shared" si="52"/>
        <v>-59</v>
      </c>
      <c r="EA24" s="12"/>
      <c r="EB24" s="9">
        <v>1707</v>
      </c>
      <c r="EC24" s="9">
        <v>25</v>
      </c>
      <c r="ED24" s="9">
        <v>113</v>
      </c>
      <c r="EE24" s="12">
        <f t="shared" si="53"/>
        <v>-88</v>
      </c>
      <c r="EF24" s="12"/>
      <c r="EG24" s="8">
        <f t="shared" si="54"/>
        <v>73133</v>
      </c>
      <c r="EH24" s="8">
        <f t="shared" si="55"/>
        <v>1830</v>
      </c>
      <c r="EI24" s="8">
        <f t="shared" si="56"/>
        <v>4130</v>
      </c>
      <c r="EJ24" s="12">
        <f t="shared" si="57"/>
        <v>-2300</v>
      </c>
      <c r="EK24" s="12"/>
      <c r="EL24" s="8">
        <f t="shared" si="58"/>
        <v>27611</v>
      </c>
      <c r="EM24" s="8">
        <f t="shared" si="59"/>
        <v>1121</v>
      </c>
      <c r="EN24" s="8">
        <f t="shared" si="60"/>
        <v>1625</v>
      </c>
      <c r="EO24" s="12">
        <f t="shared" si="61"/>
        <v>-504</v>
      </c>
      <c r="EP24" s="12"/>
      <c r="EQ24" s="8">
        <f t="shared" si="62"/>
        <v>45522</v>
      </c>
      <c r="ER24" s="8">
        <f t="shared" si="63"/>
        <v>709</v>
      </c>
      <c r="ES24" s="8">
        <f t="shared" si="64"/>
        <v>2505</v>
      </c>
      <c r="ET24" s="12">
        <f t="shared" si="65"/>
        <v>-1796</v>
      </c>
      <c r="EU24" s="12"/>
      <c r="EV24" s="8">
        <f t="shared" si="66"/>
        <v>945300</v>
      </c>
      <c r="EW24" s="8">
        <f t="shared" si="67"/>
        <v>30971</v>
      </c>
      <c r="EX24" s="8">
        <f t="shared" si="68"/>
        <v>51571</v>
      </c>
      <c r="EY24" s="12">
        <f t="shared" si="69"/>
        <v>-20600</v>
      </c>
      <c r="EZ24" s="12"/>
      <c r="FA24" s="9">
        <f>945300-512628</f>
        <v>432672</v>
      </c>
      <c r="FB24" s="9">
        <f>30971-10117</f>
        <v>20854</v>
      </c>
      <c r="FC24" s="9">
        <f>51571-27082</f>
        <v>24489</v>
      </c>
      <c r="FD24" s="12">
        <f t="shared" si="70"/>
        <v>-3635</v>
      </c>
      <c r="FE24" s="12"/>
      <c r="FF24" s="9">
        <v>512628</v>
      </c>
      <c r="FG24" s="9">
        <v>10117</v>
      </c>
      <c r="FH24" s="9">
        <v>27082</v>
      </c>
      <c r="FI24" s="12">
        <f t="shared" si="71"/>
        <v>-16965</v>
      </c>
    </row>
    <row r="25" spans="1:165" ht="12">
      <c r="A25" s="1" t="s">
        <v>32</v>
      </c>
      <c r="B25" s="8">
        <f t="shared" si="0"/>
        <v>6370</v>
      </c>
      <c r="C25" s="8">
        <f t="shared" si="1"/>
        <v>223</v>
      </c>
      <c r="D25" s="8">
        <f t="shared" si="2"/>
        <v>286</v>
      </c>
      <c r="E25" s="12">
        <f t="shared" si="3"/>
        <v>-63</v>
      </c>
      <c r="F25" s="12"/>
      <c r="G25" s="9">
        <f>6370-3361</f>
        <v>3009</v>
      </c>
      <c r="H25" s="9">
        <f>223-65</f>
        <v>158</v>
      </c>
      <c r="I25" s="9">
        <f>286-121</f>
        <v>165</v>
      </c>
      <c r="J25" s="12">
        <f t="shared" si="4"/>
        <v>-7</v>
      </c>
      <c r="K25" s="12"/>
      <c r="L25" s="9">
        <v>3361</v>
      </c>
      <c r="M25" s="9">
        <v>65</v>
      </c>
      <c r="N25" s="9">
        <v>121</v>
      </c>
      <c r="O25" s="12">
        <f t="shared" si="5"/>
        <v>-56</v>
      </c>
      <c r="P25" s="12"/>
      <c r="Q25" s="8">
        <f t="shared" si="6"/>
        <v>7352</v>
      </c>
      <c r="R25" s="8">
        <f t="shared" si="7"/>
        <v>551</v>
      </c>
      <c r="S25" s="8">
        <f t="shared" si="8"/>
        <v>393</v>
      </c>
      <c r="T25" s="12">
        <f t="shared" si="9"/>
        <v>158</v>
      </c>
      <c r="U25" s="12"/>
      <c r="V25" s="9">
        <f>7352-4025</f>
        <v>3327</v>
      </c>
      <c r="W25" s="9">
        <f>551-158</f>
        <v>393</v>
      </c>
      <c r="X25" s="9">
        <f>393-216</f>
        <v>177</v>
      </c>
      <c r="Y25" s="12">
        <f t="shared" si="10"/>
        <v>216</v>
      </c>
      <c r="Z25" s="12"/>
      <c r="AA25" s="9">
        <v>4025</v>
      </c>
      <c r="AB25" s="9">
        <v>158</v>
      </c>
      <c r="AC25" s="9">
        <v>216</v>
      </c>
      <c r="AD25" s="12">
        <f t="shared" si="11"/>
        <v>-58</v>
      </c>
      <c r="AE25" s="12"/>
      <c r="AF25" s="8">
        <f t="shared" si="12"/>
        <v>8129</v>
      </c>
      <c r="AG25" s="8">
        <f t="shared" si="13"/>
        <v>251</v>
      </c>
      <c r="AH25" s="8">
        <f t="shared" si="14"/>
        <v>450</v>
      </c>
      <c r="AI25" s="12">
        <f t="shared" si="15"/>
        <v>-199</v>
      </c>
      <c r="AJ25" s="12"/>
      <c r="AK25" s="9">
        <f>8129-4582</f>
        <v>3547</v>
      </c>
      <c r="AL25" s="9">
        <f>251-56</f>
        <v>195</v>
      </c>
      <c r="AM25" s="9">
        <f>450-230</f>
        <v>220</v>
      </c>
      <c r="AN25" s="12">
        <f t="shared" si="16"/>
        <v>-25</v>
      </c>
      <c r="AO25" s="12"/>
      <c r="AP25" s="9">
        <v>4582</v>
      </c>
      <c r="AQ25" s="9">
        <v>56</v>
      </c>
      <c r="AR25" s="9">
        <v>230</v>
      </c>
      <c r="AS25" s="12">
        <f t="shared" si="17"/>
        <v>-174</v>
      </c>
      <c r="AT25" s="12"/>
      <c r="AU25" s="8">
        <f t="shared" si="18"/>
        <v>10195</v>
      </c>
      <c r="AV25" s="8">
        <f t="shared" si="19"/>
        <v>598</v>
      </c>
      <c r="AW25" s="8">
        <f t="shared" si="20"/>
        <v>498</v>
      </c>
      <c r="AX25" s="12">
        <f t="shared" si="21"/>
        <v>100</v>
      </c>
      <c r="AY25" s="12"/>
      <c r="AZ25" s="9">
        <f>10195-6264</f>
        <v>3931</v>
      </c>
      <c r="BA25" s="9">
        <f>598-252</f>
        <v>346</v>
      </c>
      <c r="BB25" s="9">
        <f>498-274</f>
        <v>224</v>
      </c>
      <c r="BC25" s="12">
        <f t="shared" si="22"/>
        <v>122</v>
      </c>
      <c r="BD25" s="12"/>
      <c r="BE25" s="9">
        <v>6264</v>
      </c>
      <c r="BF25" s="9">
        <v>252</v>
      </c>
      <c r="BG25" s="9">
        <v>274</v>
      </c>
      <c r="BH25" s="12">
        <f t="shared" si="23"/>
        <v>-22</v>
      </c>
      <c r="BI25" s="12"/>
      <c r="BJ25" s="8">
        <f t="shared" si="24"/>
        <v>11289</v>
      </c>
      <c r="BK25" s="8">
        <f t="shared" si="25"/>
        <v>483</v>
      </c>
      <c r="BL25" s="8">
        <f t="shared" si="26"/>
        <v>625</v>
      </c>
      <c r="BM25" s="12">
        <f t="shared" si="27"/>
        <v>-142</v>
      </c>
      <c r="BN25" s="12"/>
      <c r="BO25" s="9">
        <f>11289-7865</f>
        <v>3424</v>
      </c>
      <c r="BP25" s="9">
        <f>483-261</f>
        <v>222</v>
      </c>
      <c r="BQ25" s="9">
        <f>625-453</f>
        <v>172</v>
      </c>
      <c r="BR25" s="12">
        <f t="shared" si="28"/>
        <v>50</v>
      </c>
      <c r="BS25" s="12"/>
      <c r="BT25" s="9">
        <v>7865</v>
      </c>
      <c r="BU25" s="9">
        <v>261</v>
      </c>
      <c r="BV25" s="9">
        <v>453</v>
      </c>
      <c r="BW25" s="12">
        <f t="shared" si="29"/>
        <v>-192</v>
      </c>
      <c r="BX25" s="12"/>
      <c r="BY25" s="8">
        <f t="shared" si="30"/>
        <v>8339</v>
      </c>
      <c r="BZ25" s="8">
        <f t="shared" si="31"/>
        <v>269</v>
      </c>
      <c r="CA25" s="8">
        <f t="shared" si="32"/>
        <v>502</v>
      </c>
      <c r="CB25" s="12">
        <f t="shared" si="33"/>
        <v>-233</v>
      </c>
      <c r="CC25" s="12"/>
      <c r="CD25" s="9">
        <f>8339-4365</f>
        <v>3974</v>
      </c>
      <c r="CE25" s="9">
        <f>269-75</f>
        <v>194</v>
      </c>
      <c r="CF25" s="9">
        <f>502-176</f>
        <v>326</v>
      </c>
      <c r="CG25" s="12">
        <f t="shared" si="34"/>
        <v>-132</v>
      </c>
      <c r="CH25" s="12"/>
      <c r="CI25" s="9">
        <v>4365</v>
      </c>
      <c r="CJ25" s="9">
        <v>75</v>
      </c>
      <c r="CK25" s="9">
        <v>176</v>
      </c>
      <c r="CL25" s="12">
        <f t="shared" si="35"/>
        <v>-101</v>
      </c>
      <c r="CM25" s="12"/>
      <c r="CN25" s="8">
        <f t="shared" si="36"/>
        <v>9371</v>
      </c>
      <c r="CO25" s="8">
        <f t="shared" si="37"/>
        <v>268</v>
      </c>
      <c r="CP25" s="8">
        <f t="shared" si="38"/>
        <v>487</v>
      </c>
      <c r="CQ25" s="12">
        <f t="shared" si="39"/>
        <v>-219</v>
      </c>
      <c r="CR25" s="12"/>
      <c r="CS25" s="9">
        <f>9371-5893</f>
        <v>3478</v>
      </c>
      <c r="CT25" s="9">
        <f>268-150</f>
        <v>118</v>
      </c>
      <c r="CU25" s="9">
        <f>487-263</f>
        <v>224</v>
      </c>
      <c r="CV25" s="12">
        <f t="shared" si="40"/>
        <v>-106</v>
      </c>
      <c r="CW25" s="12"/>
      <c r="CX25" s="9">
        <v>5893</v>
      </c>
      <c r="CY25" s="9">
        <v>150</v>
      </c>
      <c r="CZ25" s="9">
        <v>263</v>
      </c>
      <c r="DA25" s="12">
        <f t="shared" si="41"/>
        <v>-113</v>
      </c>
      <c r="DB25" s="12"/>
      <c r="DC25" s="8">
        <f t="shared" si="42"/>
        <v>8940</v>
      </c>
      <c r="DD25" s="8">
        <f t="shared" si="43"/>
        <v>392</v>
      </c>
      <c r="DE25" s="8">
        <f t="shared" si="44"/>
        <v>448</v>
      </c>
      <c r="DF25" s="12">
        <f t="shared" si="45"/>
        <v>-56</v>
      </c>
      <c r="DG25" s="12"/>
      <c r="DH25" s="9">
        <f>8940-6682</f>
        <v>2258</v>
      </c>
      <c r="DI25" s="9">
        <f>392-264</f>
        <v>128</v>
      </c>
      <c r="DJ25" s="9">
        <f>448-337</f>
        <v>111</v>
      </c>
      <c r="DK25" s="12">
        <f t="shared" si="46"/>
        <v>17</v>
      </c>
      <c r="DL25" s="12"/>
      <c r="DM25" s="9">
        <v>6682</v>
      </c>
      <c r="DN25" s="9">
        <v>264</v>
      </c>
      <c r="DO25" s="9">
        <v>337</v>
      </c>
      <c r="DP25" s="12">
        <f t="shared" si="47"/>
        <v>-73</v>
      </c>
      <c r="DQ25" s="12"/>
      <c r="DR25" s="8">
        <f t="shared" si="48"/>
        <v>2633</v>
      </c>
      <c r="DS25" s="8">
        <f t="shared" si="49"/>
        <v>90</v>
      </c>
      <c r="DT25" s="8">
        <f t="shared" si="50"/>
        <v>137</v>
      </c>
      <c r="DU25" s="12">
        <f t="shared" si="51"/>
        <v>-47</v>
      </c>
      <c r="DV25" s="12"/>
      <c r="DW25" s="9">
        <f>2633-1658</f>
        <v>975</v>
      </c>
      <c r="DX25" s="9">
        <f>90-33</f>
        <v>57</v>
      </c>
      <c r="DY25" s="9">
        <f>137-84</f>
        <v>53</v>
      </c>
      <c r="DZ25" s="12">
        <f t="shared" si="52"/>
        <v>4</v>
      </c>
      <c r="EA25" s="12"/>
      <c r="EB25" s="9">
        <v>1658</v>
      </c>
      <c r="EC25" s="9">
        <v>33</v>
      </c>
      <c r="ED25" s="9">
        <v>84</v>
      </c>
      <c r="EE25" s="12">
        <f t="shared" si="53"/>
        <v>-51</v>
      </c>
      <c r="EF25" s="12"/>
      <c r="EG25" s="8">
        <f t="shared" si="54"/>
        <v>72618</v>
      </c>
      <c r="EH25" s="8">
        <f t="shared" si="55"/>
        <v>3125</v>
      </c>
      <c r="EI25" s="8">
        <f t="shared" si="56"/>
        <v>3826</v>
      </c>
      <c r="EJ25" s="12">
        <f t="shared" si="57"/>
        <v>-701</v>
      </c>
      <c r="EK25" s="12"/>
      <c r="EL25" s="8">
        <f t="shared" si="58"/>
        <v>27923</v>
      </c>
      <c r="EM25" s="8">
        <f t="shared" si="59"/>
        <v>1811</v>
      </c>
      <c r="EN25" s="8">
        <f t="shared" si="60"/>
        <v>1672</v>
      </c>
      <c r="EO25" s="12">
        <f t="shared" si="61"/>
        <v>139</v>
      </c>
      <c r="EP25" s="12"/>
      <c r="EQ25" s="8">
        <f t="shared" si="62"/>
        <v>44695</v>
      </c>
      <c r="ER25" s="8">
        <f t="shared" si="63"/>
        <v>1314</v>
      </c>
      <c r="ES25" s="8">
        <f t="shared" si="64"/>
        <v>2154</v>
      </c>
      <c r="ET25" s="12">
        <f t="shared" si="65"/>
        <v>-840</v>
      </c>
      <c r="EU25" s="12"/>
      <c r="EV25" s="8">
        <f t="shared" si="66"/>
        <v>920916</v>
      </c>
      <c r="EW25" s="8">
        <f t="shared" si="67"/>
        <v>28921</v>
      </c>
      <c r="EX25" s="8">
        <f t="shared" si="68"/>
        <v>56090</v>
      </c>
      <c r="EY25" s="12">
        <f t="shared" si="69"/>
        <v>-27169</v>
      </c>
      <c r="EZ25" s="12"/>
      <c r="FA25" s="9">
        <f>920916-494272</f>
        <v>426644</v>
      </c>
      <c r="FB25" s="9">
        <f>28921-9307</f>
        <v>19614</v>
      </c>
      <c r="FC25" s="9">
        <f>56090-27947</f>
        <v>28143</v>
      </c>
      <c r="FD25" s="12">
        <f t="shared" si="70"/>
        <v>-8529</v>
      </c>
      <c r="FE25" s="12"/>
      <c r="FF25" s="9">
        <v>494272</v>
      </c>
      <c r="FG25" s="9">
        <v>9307</v>
      </c>
      <c r="FH25" s="9">
        <v>27947</v>
      </c>
      <c r="FI25" s="12">
        <f t="shared" si="71"/>
        <v>-18640</v>
      </c>
    </row>
    <row r="26" spans="1:165" ht="12">
      <c r="A26" s="1" t="s">
        <v>33</v>
      </c>
      <c r="B26" s="8">
        <f t="shared" si="0"/>
        <v>6330</v>
      </c>
      <c r="C26" s="8">
        <f t="shared" si="1"/>
        <v>250</v>
      </c>
      <c r="D26" s="8">
        <f t="shared" si="2"/>
        <v>312</v>
      </c>
      <c r="E26" s="12">
        <f t="shared" si="3"/>
        <v>-62</v>
      </c>
      <c r="F26" s="12"/>
      <c r="G26" s="9">
        <v>3041</v>
      </c>
      <c r="H26" s="9">
        <v>159</v>
      </c>
      <c r="I26" s="9">
        <v>145</v>
      </c>
      <c r="J26" s="12">
        <f t="shared" si="4"/>
        <v>14</v>
      </c>
      <c r="K26" s="12"/>
      <c r="L26" s="9">
        <v>3289</v>
      </c>
      <c r="M26" s="9">
        <v>91</v>
      </c>
      <c r="N26" s="9">
        <v>167</v>
      </c>
      <c r="O26" s="12">
        <f t="shared" si="5"/>
        <v>-76</v>
      </c>
      <c r="P26" s="12"/>
      <c r="Q26" s="8">
        <f t="shared" si="6"/>
        <v>7239</v>
      </c>
      <c r="R26" s="8">
        <f t="shared" si="7"/>
        <v>241</v>
      </c>
      <c r="S26" s="8">
        <f t="shared" si="8"/>
        <v>368</v>
      </c>
      <c r="T26" s="12">
        <f t="shared" si="9"/>
        <v>-127</v>
      </c>
      <c r="U26" s="12"/>
      <c r="V26" s="9">
        <v>3307</v>
      </c>
      <c r="W26" s="9">
        <v>155</v>
      </c>
      <c r="X26" s="9">
        <v>194</v>
      </c>
      <c r="Y26" s="12">
        <f t="shared" si="10"/>
        <v>-39</v>
      </c>
      <c r="Z26" s="12"/>
      <c r="AA26" s="9">
        <v>3932</v>
      </c>
      <c r="AB26" s="9">
        <v>86</v>
      </c>
      <c r="AC26" s="9">
        <v>174</v>
      </c>
      <c r="AD26" s="12">
        <f t="shared" si="11"/>
        <v>-88</v>
      </c>
      <c r="AE26" s="12"/>
      <c r="AF26" s="8">
        <f t="shared" si="12"/>
        <v>7926</v>
      </c>
      <c r="AG26" s="8">
        <f t="shared" si="13"/>
        <v>240</v>
      </c>
      <c r="AH26" s="8">
        <f t="shared" si="14"/>
        <v>487</v>
      </c>
      <c r="AI26" s="12">
        <f t="shared" si="15"/>
        <v>-247</v>
      </c>
      <c r="AJ26" s="12"/>
      <c r="AK26" s="9">
        <v>3528</v>
      </c>
      <c r="AL26" s="9">
        <v>174</v>
      </c>
      <c r="AM26" s="9">
        <v>225</v>
      </c>
      <c r="AN26" s="12">
        <f t="shared" si="16"/>
        <v>-51</v>
      </c>
      <c r="AO26" s="12"/>
      <c r="AP26" s="9">
        <v>4398</v>
      </c>
      <c r="AQ26" s="9">
        <v>66</v>
      </c>
      <c r="AR26" s="9">
        <v>262</v>
      </c>
      <c r="AS26" s="12">
        <f t="shared" si="17"/>
        <v>-196</v>
      </c>
      <c r="AT26" s="12"/>
      <c r="AU26" s="8">
        <f t="shared" si="18"/>
        <v>9940</v>
      </c>
      <c r="AV26" s="8">
        <f t="shared" si="19"/>
        <v>310</v>
      </c>
      <c r="AW26" s="8">
        <f t="shared" si="20"/>
        <v>596</v>
      </c>
      <c r="AX26" s="12">
        <f t="shared" si="21"/>
        <v>-286</v>
      </c>
      <c r="AY26" s="12"/>
      <c r="AZ26" s="9">
        <v>3878</v>
      </c>
      <c r="BA26" s="9">
        <v>186</v>
      </c>
      <c r="BB26" s="9">
        <v>265</v>
      </c>
      <c r="BC26" s="12">
        <f t="shared" si="22"/>
        <v>-79</v>
      </c>
      <c r="BD26" s="12"/>
      <c r="BE26" s="9">
        <v>6062</v>
      </c>
      <c r="BF26" s="9">
        <v>124</v>
      </c>
      <c r="BG26" s="9">
        <v>331</v>
      </c>
      <c r="BH26" s="12">
        <f t="shared" si="23"/>
        <v>-207</v>
      </c>
      <c r="BI26" s="12"/>
      <c r="BJ26" s="8">
        <f t="shared" si="24"/>
        <v>11188</v>
      </c>
      <c r="BK26" s="8">
        <f t="shared" si="25"/>
        <v>345</v>
      </c>
      <c r="BL26" s="8">
        <f t="shared" si="26"/>
        <v>494</v>
      </c>
      <c r="BM26" s="12">
        <f t="shared" si="27"/>
        <v>-149</v>
      </c>
      <c r="BN26" s="12"/>
      <c r="BO26" s="9">
        <v>3521</v>
      </c>
      <c r="BP26" s="9">
        <v>198</v>
      </c>
      <c r="BQ26" s="9">
        <v>149</v>
      </c>
      <c r="BR26" s="12">
        <f t="shared" si="28"/>
        <v>49</v>
      </c>
      <c r="BS26" s="12"/>
      <c r="BT26" s="9">
        <v>7667</v>
      </c>
      <c r="BU26" s="9">
        <v>147</v>
      </c>
      <c r="BV26" s="9">
        <v>345</v>
      </c>
      <c r="BW26" s="12">
        <f t="shared" si="29"/>
        <v>-198</v>
      </c>
      <c r="BX26" s="12"/>
      <c r="BY26" s="8">
        <f t="shared" si="30"/>
        <v>8111</v>
      </c>
      <c r="BZ26" s="8">
        <f t="shared" si="31"/>
        <v>220</v>
      </c>
      <c r="CA26" s="8">
        <f t="shared" si="32"/>
        <v>460</v>
      </c>
      <c r="CB26" s="12">
        <f t="shared" si="33"/>
        <v>-240</v>
      </c>
      <c r="CC26" s="12"/>
      <c r="CD26" s="9">
        <v>3836</v>
      </c>
      <c r="CE26" s="9">
        <v>132</v>
      </c>
      <c r="CF26" s="9">
        <v>282</v>
      </c>
      <c r="CG26" s="12">
        <f t="shared" si="34"/>
        <v>-150</v>
      </c>
      <c r="CH26" s="12"/>
      <c r="CI26" s="9">
        <v>4275</v>
      </c>
      <c r="CJ26" s="9">
        <v>88</v>
      </c>
      <c r="CK26" s="9">
        <v>178</v>
      </c>
      <c r="CL26" s="12">
        <f t="shared" si="35"/>
        <v>-90</v>
      </c>
      <c r="CM26" s="12"/>
      <c r="CN26" s="8">
        <f t="shared" si="36"/>
        <v>9235</v>
      </c>
      <c r="CO26" s="8">
        <f t="shared" si="37"/>
        <v>244</v>
      </c>
      <c r="CP26" s="8">
        <f t="shared" si="38"/>
        <v>405</v>
      </c>
      <c r="CQ26" s="12">
        <f t="shared" si="39"/>
        <v>-161</v>
      </c>
      <c r="CR26" s="12"/>
      <c r="CS26" s="9">
        <v>3465</v>
      </c>
      <c r="CT26" s="9">
        <v>133</v>
      </c>
      <c r="CU26" s="9">
        <v>165</v>
      </c>
      <c r="CV26" s="12">
        <f t="shared" si="40"/>
        <v>-32</v>
      </c>
      <c r="CW26" s="12"/>
      <c r="CX26" s="9">
        <v>5770</v>
      </c>
      <c r="CY26" s="9">
        <v>111</v>
      </c>
      <c r="CZ26" s="9">
        <v>240</v>
      </c>
      <c r="DA26" s="12">
        <f t="shared" si="41"/>
        <v>-129</v>
      </c>
      <c r="DB26" s="12"/>
      <c r="DC26" s="8">
        <f t="shared" si="42"/>
        <v>8716</v>
      </c>
      <c r="DD26" s="8">
        <f t="shared" si="43"/>
        <v>214</v>
      </c>
      <c r="DE26" s="8">
        <f t="shared" si="44"/>
        <v>470</v>
      </c>
      <c r="DF26" s="12">
        <f t="shared" si="45"/>
        <v>-256</v>
      </c>
      <c r="DG26" s="12"/>
      <c r="DH26" s="9">
        <v>2275</v>
      </c>
      <c r="DI26" s="9">
        <v>103</v>
      </c>
      <c r="DJ26" s="9">
        <v>108</v>
      </c>
      <c r="DK26" s="12">
        <f t="shared" si="46"/>
        <v>-5</v>
      </c>
      <c r="DL26" s="12"/>
      <c r="DM26" s="9">
        <v>6441</v>
      </c>
      <c r="DN26" s="9">
        <v>111</v>
      </c>
      <c r="DO26" s="9">
        <v>362</v>
      </c>
      <c r="DP26" s="12">
        <f t="shared" si="47"/>
        <v>-251</v>
      </c>
      <c r="DQ26" s="12"/>
      <c r="DR26" s="8">
        <f t="shared" si="48"/>
        <v>2570</v>
      </c>
      <c r="DS26" s="8">
        <f t="shared" si="49"/>
        <v>61</v>
      </c>
      <c r="DT26" s="8">
        <f t="shared" si="50"/>
        <v>132</v>
      </c>
      <c r="DU26" s="12">
        <f t="shared" si="51"/>
        <v>-71</v>
      </c>
      <c r="DV26" s="12"/>
      <c r="DW26" s="9">
        <v>966</v>
      </c>
      <c r="DX26" s="9">
        <v>42</v>
      </c>
      <c r="DY26" s="9">
        <v>60</v>
      </c>
      <c r="DZ26" s="12">
        <f t="shared" si="52"/>
        <v>-18</v>
      </c>
      <c r="EA26" s="12"/>
      <c r="EB26" s="9">
        <v>1604</v>
      </c>
      <c r="EC26" s="9">
        <v>19</v>
      </c>
      <c r="ED26" s="9">
        <v>72</v>
      </c>
      <c r="EE26" s="12">
        <f t="shared" si="53"/>
        <v>-53</v>
      </c>
      <c r="EF26" s="12"/>
      <c r="EG26" s="8">
        <f t="shared" si="54"/>
        <v>71255</v>
      </c>
      <c r="EH26" s="8">
        <f t="shared" si="55"/>
        <v>2125</v>
      </c>
      <c r="EI26" s="8">
        <f t="shared" si="56"/>
        <v>3724</v>
      </c>
      <c r="EJ26" s="12">
        <f t="shared" si="57"/>
        <v>-1599</v>
      </c>
      <c r="EK26" s="12"/>
      <c r="EL26" s="8">
        <f t="shared" si="58"/>
        <v>27817</v>
      </c>
      <c r="EM26" s="8">
        <f t="shared" si="59"/>
        <v>1282</v>
      </c>
      <c r="EN26" s="8">
        <f t="shared" si="60"/>
        <v>1593</v>
      </c>
      <c r="EO26" s="12">
        <f t="shared" si="61"/>
        <v>-311</v>
      </c>
      <c r="EP26" s="12"/>
      <c r="EQ26" s="8">
        <f t="shared" si="62"/>
        <v>43438</v>
      </c>
      <c r="ER26" s="8">
        <f t="shared" si="63"/>
        <v>843</v>
      </c>
      <c r="ES26" s="8">
        <f t="shared" si="64"/>
        <v>2131</v>
      </c>
      <c r="ET26" s="12">
        <f t="shared" si="65"/>
        <v>-1288</v>
      </c>
      <c r="EU26" s="12"/>
      <c r="EV26" s="8">
        <f t="shared" si="66"/>
        <v>901059</v>
      </c>
      <c r="EW26" s="8">
        <f t="shared" si="67"/>
        <v>30215</v>
      </c>
      <c r="EX26" s="8">
        <f t="shared" si="68"/>
        <v>54003</v>
      </c>
      <c r="EY26" s="12">
        <f t="shared" si="69"/>
        <v>-23788</v>
      </c>
      <c r="EZ26" s="12"/>
      <c r="FA26" s="9">
        <v>422877</v>
      </c>
      <c r="FB26" s="9">
        <v>20189</v>
      </c>
      <c r="FC26" s="9">
        <v>27436</v>
      </c>
      <c r="FD26" s="12">
        <f t="shared" si="70"/>
        <v>-7247</v>
      </c>
      <c r="FE26" s="12"/>
      <c r="FF26" s="9">
        <v>478182</v>
      </c>
      <c r="FG26" s="9">
        <v>10026</v>
      </c>
      <c r="FH26" s="9">
        <v>26567</v>
      </c>
      <c r="FI26" s="12">
        <f t="shared" si="71"/>
        <v>-16541</v>
      </c>
    </row>
    <row r="27" spans="1:165" ht="12">
      <c r="A27" s="1" t="s">
        <v>34</v>
      </c>
      <c r="B27" s="8">
        <f t="shared" si="0"/>
        <v>6225</v>
      </c>
      <c r="C27" s="8">
        <f t="shared" si="1"/>
        <v>177</v>
      </c>
      <c r="D27" s="8">
        <f t="shared" si="2"/>
        <v>311</v>
      </c>
      <c r="E27" s="12">
        <f t="shared" si="3"/>
        <v>-134</v>
      </c>
      <c r="F27" s="12"/>
      <c r="G27" s="9">
        <v>3004</v>
      </c>
      <c r="H27" s="9">
        <v>100</v>
      </c>
      <c r="I27" s="9">
        <v>153</v>
      </c>
      <c r="J27" s="12">
        <f t="shared" si="4"/>
        <v>-53</v>
      </c>
      <c r="K27" s="12"/>
      <c r="L27" s="9">
        <v>3221</v>
      </c>
      <c r="M27" s="9">
        <v>77</v>
      </c>
      <c r="N27" s="9">
        <v>158</v>
      </c>
      <c r="O27" s="12">
        <f t="shared" si="5"/>
        <v>-81</v>
      </c>
      <c r="P27" s="12"/>
      <c r="Q27" s="8">
        <f t="shared" si="6"/>
        <v>7132</v>
      </c>
      <c r="R27" s="8">
        <f t="shared" si="7"/>
        <v>217</v>
      </c>
      <c r="S27" s="8">
        <f t="shared" si="8"/>
        <v>353</v>
      </c>
      <c r="T27" s="12">
        <f t="shared" si="9"/>
        <v>-136</v>
      </c>
      <c r="U27" s="12"/>
      <c r="V27" s="9">
        <v>3314</v>
      </c>
      <c r="W27" s="9">
        <v>147</v>
      </c>
      <c r="X27" s="9">
        <v>162</v>
      </c>
      <c r="Y27" s="12">
        <f t="shared" si="10"/>
        <v>-15</v>
      </c>
      <c r="Z27" s="12"/>
      <c r="AA27" s="9">
        <v>3818</v>
      </c>
      <c r="AB27" s="9">
        <v>70</v>
      </c>
      <c r="AC27" s="9">
        <v>191</v>
      </c>
      <c r="AD27" s="12">
        <f t="shared" si="11"/>
        <v>-121</v>
      </c>
      <c r="AE27" s="12"/>
      <c r="AF27" s="8">
        <f t="shared" si="12"/>
        <v>7763</v>
      </c>
      <c r="AG27" s="8">
        <f t="shared" si="13"/>
        <v>218</v>
      </c>
      <c r="AH27" s="8">
        <f t="shared" si="14"/>
        <v>403</v>
      </c>
      <c r="AI27" s="12">
        <f t="shared" si="15"/>
        <v>-185</v>
      </c>
      <c r="AJ27" s="12"/>
      <c r="AK27" s="9">
        <v>3534</v>
      </c>
      <c r="AL27" s="9">
        <v>160</v>
      </c>
      <c r="AM27" s="9">
        <v>177</v>
      </c>
      <c r="AN27" s="12">
        <f t="shared" si="16"/>
        <v>-17</v>
      </c>
      <c r="AO27" s="12"/>
      <c r="AP27" s="9">
        <v>4229</v>
      </c>
      <c r="AQ27" s="9">
        <v>58</v>
      </c>
      <c r="AR27" s="9">
        <v>226</v>
      </c>
      <c r="AS27" s="12">
        <f t="shared" si="17"/>
        <v>-168</v>
      </c>
      <c r="AT27" s="12"/>
      <c r="AU27" s="8">
        <f t="shared" si="18"/>
        <v>9765</v>
      </c>
      <c r="AV27" s="8">
        <f t="shared" si="19"/>
        <v>235</v>
      </c>
      <c r="AW27" s="8">
        <f t="shared" si="20"/>
        <v>454</v>
      </c>
      <c r="AX27" s="12">
        <f t="shared" si="21"/>
        <v>-219</v>
      </c>
      <c r="AY27" s="12"/>
      <c r="AZ27" s="9">
        <v>3862</v>
      </c>
      <c r="BA27" s="9">
        <v>136</v>
      </c>
      <c r="BB27" s="9">
        <v>184</v>
      </c>
      <c r="BC27" s="12">
        <f t="shared" si="22"/>
        <v>-48</v>
      </c>
      <c r="BD27" s="12"/>
      <c r="BE27" s="9">
        <v>5903</v>
      </c>
      <c r="BF27" s="9">
        <v>99</v>
      </c>
      <c r="BG27" s="9">
        <v>270</v>
      </c>
      <c r="BH27" s="12">
        <f t="shared" si="23"/>
        <v>-171</v>
      </c>
      <c r="BI27" s="12"/>
      <c r="BJ27" s="8">
        <f t="shared" si="24"/>
        <v>10956</v>
      </c>
      <c r="BK27" s="8">
        <f t="shared" si="25"/>
        <v>310</v>
      </c>
      <c r="BL27" s="8">
        <f t="shared" si="26"/>
        <v>573</v>
      </c>
      <c r="BM27" s="12">
        <f t="shared" si="27"/>
        <v>-263</v>
      </c>
      <c r="BN27" s="12"/>
      <c r="BO27" s="9">
        <v>3561</v>
      </c>
      <c r="BP27" s="9">
        <v>177</v>
      </c>
      <c r="BQ27" s="9">
        <v>162</v>
      </c>
      <c r="BR27" s="12">
        <f t="shared" si="28"/>
        <v>15</v>
      </c>
      <c r="BS27" s="12"/>
      <c r="BT27" s="9">
        <v>7395</v>
      </c>
      <c r="BU27" s="9">
        <v>133</v>
      </c>
      <c r="BV27" s="9">
        <v>411</v>
      </c>
      <c r="BW27" s="12">
        <f t="shared" si="29"/>
        <v>-278</v>
      </c>
      <c r="BX27" s="12"/>
      <c r="BY27" s="8">
        <f t="shared" si="30"/>
        <v>7880</v>
      </c>
      <c r="BZ27" s="8">
        <f t="shared" si="31"/>
        <v>189</v>
      </c>
      <c r="CA27" s="8">
        <f t="shared" si="32"/>
        <v>427</v>
      </c>
      <c r="CB27" s="12">
        <f t="shared" si="33"/>
        <v>-238</v>
      </c>
      <c r="CC27" s="12"/>
      <c r="CD27" s="9">
        <v>3713</v>
      </c>
      <c r="CE27" s="9">
        <v>128</v>
      </c>
      <c r="CF27" s="9">
        <v>258</v>
      </c>
      <c r="CG27" s="12">
        <f t="shared" si="34"/>
        <v>-130</v>
      </c>
      <c r="CH27" s="12"/>
      <c r="CI27" s="9">
        <v>4167</v>
      </c>
      <c r="CJ27" s="9">
        <v>61</v>
      </c>
      <c r="CK27" s="9">
        <v>169</v>
      </c>
      <c r="CL27" s="12">
        <f t="shared" si="35"/>
        <v>-108</v>
      </c>
      <c r="CM27" s="12"/>
      <c r="CN27" s="8">
        <f t="shared" si="36"/>
        <v>8960</v>
      </c>
      <c r="CO27" s="8">
        <f t="shared" si="37"/>
        <v>198</v>
      </c>
      <c r="CP27" s="8">
        <f t="shared" si="38"/>
        <v>481</v>
      </c>
      <c r="CQ27" s="12">
        <f t="shared" si="39"/>
        <v>-283</v>
      </c>
      <c r="CR27" s="12"/>
      <c r="CS27" s="9">
        <v>3397</v>
      </c>
      <c r="CT27" s="9">
        <v>116</v>
      </c>
      <c r="CU27" s="9">
        <v>195</v>
      </c>
      <c r="CV27" s="12">
        <f t="shared" si="40"/>
        <v>-79</v>
      </c>
      <c r="CW27" s="12"/>
      <c r="CX27" s="9">
        <v>5563</v>
      </c>
      <c r="CY27" s="9">
        <v>82</v>
      </c>
      <c r="CZ27" s="9">
        <v>286</v>
      </c>
      <c r="DA27" s="12">
        <f t="shared" si="41"/>
        <v>-204</v>
      </c>
      <c r="DB27" s="12"/>
      <c r="DC27" s="8">
        <f t="shared" si="42"/>
        <v>8534</v>
      </c>
      <c r="DD27" s="8">
        <f t="shared" si="43"/>
        <v>226</v>
      </c>
      <c r="DE27" s="8">
        <f t="shared" si="44"/>
        <v>440</v>
      </c>
      <c r="DF27" s="12">
        <f t="shared" si="45"/>
        <v>-214</v>
      </c>
      <c r="DG27" s="12"/>
      <c r="DH27" s="9">
        <v>2297</v>
      </c>
      <c r="DI27" s="9">
        <v>113</v>
      </c>
      <c r="DJ27" s="9">
        <v>117</v>
      </c>
      <c r="DK27" s="12">
        <f t="shared" si="46"/>
        <v>-4</v>
      </c>
      <c r="DL27" s="12"/>
      <c r="DM27" s="9">
        <v>6237</v>
      </c>
      <c r="DN27" s="9">
        <v>113</v>
      </c>
      <c r="DO27" s="9">
        <v>323</v>
      </c>
      <c r="DP27" s="12">
        <f t="shared" si="47"/>
        <v>-210</v>
      </c>
      <c r="DQ27" s="12"/>
      <c r="DR27" s="8">
        <f t="shared" si="48"/>
        <v>2483</v>
      </c>
      <c r="DS27" s="8">
        <f t="shared" si="49"/>
        <v>68</v>
      </c>
      <c r="DT27" s="8">
        <f t="shared" si="50"/>
        <v>165</v>
      </c>
      <c r="DU27" s="12">
        <f t="shared" si="51"/>
        <v>-97</v>
      </c>
      <c r="DV27" s="12"/>
      <c r="DW27" s="9">
        <v>938</v>
      </c>
      <c r="DX27" s="9">
        <v>38</v>
      </c>
      <c r="DY27" s="9">
        <v>71</v>
      </c>
      <c r="DZ27" s="12">
        <f t="shared" si="52"/>
        <v>-33</v>
      </c>
      <c r="EA27" s="12"/>
      <c r="EB27" s="9">
        <v>1545</v>
      </c>
      <c r="EC27" s="9">
        <v>30</v>
      </c>
      <c r="ED27" s="9">
        <v>94</v>
      </c>
      <c r="EE27" s="12">
        <f t="shared" si="53"/>
        <v>-64</v>
      </c>
      <c r="EF27" s="12"/>
      <c r="EG27" s="8">
        <f t="shared" si="54"/>
        <v>69698</v>
      </c>
      <c r="EH27" s="8">
        <f t="shared" si="55"/>
        <v>1838</v>
      </c>
      <c r="EI27" s="8">
        <f t="shared" si="56"/>
        <v>3607</v>
      </c>
      <c r="EJ27" s="12">
        <f t="shared" si="57"/>
        <v>-1769</v>
      </c>
      <c r="EK27" s="12"/>
      <c r="EL27" s="8">
        <f t="shared" si="58"/>
        <v>27620</v>
      </c>
      <c r="EM27" s="8">
        <f t="shared" si="59"/>
        <v>1115</v>
      </c>
      <c r="EN27" s="8">
        <f t="shared" si="60"/>
        <v>1479</v>
      </c>
      <c r="EO27" s="12">
        <f t="shared" si="61"/>
        <v>-364</v>
      </c>
      <c r="EP27" s="12"/>
      <c r="EQ27" s="8">
        <f t="shared" si="62"/>
        <v>42078</v>
      </c>
      <c r="ER27" s="8">
        <f t="shared" si="63"/>
        <v>723</v>
      </c>
      <c r="ES27" s="8">
        <f t="shared" si="64"/>
        <v>2128</v>
      </c>
      <c r="ET27" s="12">
        <f t="shared" si="65"/>
        <v>-1405</v>
      </c>
      <c r="EU27" s="12"/>
      <c r="EV27" s="8">
        <f t="shared" si="66"/>
        <v>879460</v>
      </c>
      <c r="EW27" s="8">
        <f t="shared" si="67"/>
        <v>28313</v>
      </c>
      <c r="EX27" s="8">
        <f t="shared" si="68"/>
        <v>53016</v>
      </c>
      <c r="EY27" s="12">
        <f t="shared" si="69"/>
        <v>-24703</v>
      </c>
      <c r="EZ27" s="12"/>
      <c r="FA27" s="9">
        <v>417660</v>
      </c>
      <c r="FB27" s="9">
        <v>18525</v>
      </c>
      <c r="FC27" s="9">
        <v>26494</v>
      </c>
      <c r="FD27" s="12">
        <f t="shared" si="70"/>
        <v>-7969</v>
      </c>
      <c r="FE27" s="12"/>
      <c r="FF27" s="9">
        <v>461800</v>
      </c>
      <c r="FG27" s="9">
        <v>9788</v>
      </c>
      <c r="FH27" s="9">
        <v>26522</v>
      </c>
      <c r="FI27" s="12">
        <f t="shared" si="71"/>
        <v>-16734</v>
      </c>
    </row>
    <row r="28" spans="1:165" ht="12.7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10"/>
      <c r="EK28" s="10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</row>
    <row r="29" spans="1:165" ht="12">
      <c r="A29" s="17" t="s">
        <v>48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6"/>
      <c r="EK29" s="16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</row>
    <row r="30" ht="12">
      <c r="A30" s="1" t="s">
        <v>35</v>
      </c>
    </row>
    <row r="31" ht="12">
      <c r="A31" s="1" t="s">
        <v>36</v>
      </c>
    </row>
    <row r="32" ht="12">
      <c r="A32" s="1" t="s">
        <v>37</v>
      </c>
    </row>
    <row r="33" ht="12">
      <c r="A33" s="1" t="s">
        <v>38</v>
      </c>
    </row>
    <row r="34" ht="12">
      <c r="A34" s="1" t="s">
        <v>39</v>
      </c>
    </row>
    <row r="35" ht="12">
      <c r="A35" s="1" t="s">
        <v>40</v>
      </c>
    </row>
    <row r="36" ht="12">
      <c r="A36" s="1" t="s">
        <v>41</v>
      </c>
    </row>
    <row r="37" ht="12">
      <c r="A37" s="1" t="s">
        <v>42</v>
      </c>
    </row>
    <row r="38" ht="12">
      <c r="A38" s="1" t="s">
        <v>43</v>
      </c>
    </row>
    <row r="39" ht="12">
      <c r="A39" s="1" t="s">
        <v>44</v>
      </c>
    </row>
    <row r="40" ht="12">
      <c r="A40" s="1" t="s">
        <v>45</v>
      </c>
    </row>
    <row r="42" ht="12">
      <c r="A42" s="1" t="s">
        <v>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2006-04-18T11:57:09Z</dcterms:created>
  <dcterms:modified xsi:type="dcterms:W3CDTF">2010-02-12T08:20:35Z</dcterms:modified>
  <cp:category/>
  <cp:version/>
  <cp:contentType/>
  <cp:contentStatus/>
</cp:coreProperties>
</file>