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ERBACEE1" sheetId="1" r:id="rId1"/>
  </sheets>
  <definedNames>
    <definedName name="_1991">#REF!</definedName>
    <definedName name="_1992">#REF!</definedName>
    <definedName name="_1993">#REF!</definedName>
    <definedName name="_Regression_Int" localSheetId="0" hidden="1">1</definedName>
    <definedName name="_xlnm.Print_Area" localSheetId="0">'ERBACEE1'!$A$6:$A$108</definedName>
    <definedName name="Area_stampa_MI" localSheetId="0">'ERBACEE1'!$A$6:$A$108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<sst xmlns="http://schemas.openxmlformats.org/spreadsheetml/2006/main" count="855" uniqueCount="98">
  <si>
    <t xml:space="preserve">AGRICOLTURA. SERIE STORICA DI ALCUNE COLTURE IN PIENA ARIA  E SERRA </t>
  </si>
  <si>
    <t>-</t>
  </si>
  <si>
    <t>1985</t>
  </si>
  <si>
    <t>Colture</t>
  </si>
  <si>
    <t>Area</t>
  </si>
  <si>
    <t>Resa</t>
  </si>
  <si>
    <t>Raccolto</t>
  </si>
  <si>
    <t>Var.%</t>
  </si>
  <si>
    <t>Totale</t>
  </si>
  <si>
    <t>area</t>
  </si>
  <si>
    <t>resa</t>
  </si>
  <si>
    <t>raccolto</t>
  </si>
  <si>
    <t>Frumento tenero</t>
  </si>
  <si>
    <t>Frumento duro</t>
  </si>
  <si>
    <t>Segale</t>
  </si>
  <si>
    <t>Orzo</t>
  </si>
  <si>
    <t>Avena</t>
  </si>
  <si>
    <t>Mais ibrido</t>
  </si>
  <si>
    <t>Mais nostrano</t>
  </si>
  <si>
    <t>Riso</t>
  </si>
  <si>
    <t>Sorgo da gr.</t>
  </si>
  <si>
    <t>TOTALE CEREALI</t>
  </si>
  <si>
    <t>Fava da gr.</t>
  </si>
  <si>
    <t>Fagiuolo da gr.</t>
  </si>
  <si>
    <t>Pisello da gr.</t>
  </si>
  <si>
    <t>Pisello proteico</t>
  </si>
  <si>
    <t>Veccia da gr.</t>
  </si>
  <si>
    <t>Patata comune</t>
  </si>
  <si>
    <t>Patata primaticcia</t>
  </si>
  <si>
    <t>Aglio</t>
  </si>
  <si>
    <t>Asparago</t>
  </si>
  <si>
    <t>Asparago in serra</t>
  </si>
  <si>
    <t>Barbabietola da orto</t>
  </si>
  <si>
    <t>Barbabiet. da orto in serra</t>
  </si>
  <si>
    <t>Bietola</t>
  </si>
  <si>
    <t>Bietola in serra</t>
  </si>
  <si>
    <t>Carciofo</t>
  </si>
  <si>
    <t>Cardo</t>
  </si>
  <si>
    <t>Carota</t>
  </si>
  <si>
    <t>Carota in serra</t>
  </si>
  <si>
    <t>Cavolo cappuccio</t>
  </si>
  <si>
    <t>Cavolo verza</t>
  </si>
  <si>
    <t>Cavolfiore e broccolo</t>
  </si>
  <si>
    <t>Cetriolini da sottaceto</t>
  </si>
  <si>
    <t>Cetriolo da mensa</t>
  </si>
  <si>
    <t xml:space="preserve">    "   in serra</t>
  </si>
  <si>
    <t>Cipolla</t>
  </si>
  <si>
    <t>Cocomero</t>
  </si>
  <si>
    <t>Cocomero in serra</t>
  </si>
  <si>
    <t>Fagiuolo fresco e fagiuolino</t>
  </si>
  <si>
    <t>Fagiuolini in serra</t>
  </si>
  <si>
    <t>Totale fagiuolo fresco</t>
  </si>
  <si>
    <t>Fava fresca</t>
  </si>
  <si>
    <t>Finocchio</t>
  </si>
  <si>
    <t>Finocchio in serra</t>
  </si>
  <si>
    <t>Totale finocchio</t>
  </si>
  <si>
    <t>Fragola</t>
  </si>
  <si>
    <t xml:space="preserve">  "  in serra</t>
  </si>
  <si>
    <t>Indivia</t>
  </si>
  <si>
    <t>Indivia in serra</t>
  </si>
  <si>
    <t xml:space="preserve">Totale </t>
  </si>
  <si>
    <t>Lattuga</t>
  </si>
  <si>
    <t>Lattuga in serra</t>
  </si>
  <si>
    <t>Melanzana</t>
  </si>
  <si>
    <t>Melanzana in serra</t>
  </si>
  <si>
    <t>Melone</t>
  </si>
  <si>
    <t>Melone in serra</t>
  </si>
  <si>
    <t>Peperone</t>
  </si>
  <si>
    <t>Peperone in serra</t>
  </si>
  <si>
    <t>Pisello fresco</t>
  </si>
  <si>
    <t>Pisello fresco in serra</t>
  </si>
  <si>
    <t>Pomodoro</t>
  </si>
  <si>
    <t>Pomodoro in serra</t>
  </si>
  <si>
    <t>Porro</t>
  </si>
  <si>
    <t>Prezzemolo</t>
  </si>
  <si>
    <t>Prezzemolo in serra</t>
  </si>
  <si>
    <t>Radicchio o cicoria</t>
  </si>
  <si>
    <t>Radicchio o cic. in serra</t>
  </si>
  <si>
    <t>Ravanello</t>
  </si>
  <si>
    <t>Ravanello in serra</t>
  </si>
  <si>
    <t>Sedano</t>
  </si>
  <si>
    <t>Sedano in serra</t>
  </si>
  <si>
    <t>Totale sedano</t>
  </si>
  <si>
    <t>Spinacio</t>
  </si>
  <si>
    <t>Spinacio in serra</t>
  </si>
  <si>
    <t>Zucca Zucchine</t>
  </si>
  <si>
    <t>Zucchine in serra</t>
  </si>
  <si>
    <t>Totale zucche e zucchine</t>
  </si>
  <si>
    <t>Barbabietola da zucc.</t>
  </si>
  <si>
    <t>Soia</t>
  </si>
  <si>
    <t>Girasole</t>
  </si>
  <si>
    <t>Tabacco</t>
  </si>
  <si>
    <t>Colza</t>
  </si>
  <si>
    <t>FILE: ERBACEE1.XLS</t>
  </si>
  <si>
    <t>(aree in ettari; rese e raccolto in quintali)</t>
  </si>
  <si>
    <t>EMILIA-ROMAGNA</t>
  </si>
  <si>
    <t>PERIODO: 1975-1985</t>
  </si>
  <si>
    <t>Fonte: Istat (annuari di statistiche dell'agricoltura)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</si>
</sst>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)"/>
    <numFmt numFmtId="165" formatCode="0.0_)"/>
    <numFmt numFmtId="166" formatCode="#,##0_);\(#,##0\)"/>
    <numFmt numFmtId="167" formatCode="0.00_)"/>
    <numFmt numFmtId="168" formatCode="0.0"/>
  </numFmts>
  <fonts count="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3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fill"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6" fontId="3" fillId="0" borderId="0" xfId="0" applyNumberFormat="1" applyFont="1" applyBorder="1" applyAlignment="1" applyProtection="1">
      <alignment/>
      <protection locked="0"/>
    </xf>
    <xf numFmtId="167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7" fontId="2" fillId="0" borderId="0" xfId="0" applyNumberFormat="1" applyFont="1" applyBorder="1" applyAlignment="1" applyProtection="1">
      <alignment horizontal="center"/>
      <protection/>
    </xf>
    <xf numFmtId="164" fontId="2" fillId="0" borderId="1" xfId="0" applyFont="1" applyBorder="1" applyAlignment="1" applyProtection="1">
      <alignment horizontal="fill"/>
      <protection/>
    </xf>
    <xf numFmtId="164" fontId="2" fillId="0" borderId="1" xfId="0" applyFont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>
      <alignment/>
      <protection/>
    </xf>
    <xf numFmtId="164" fontId="2" fillId="0" borderId="2" xfId="0" applyFont="1" applyBorder="1" applyAlignment="1" applyProtection="1">
      <alignment horizontal="left"/>
      <protection/>
    </xf>
    <xf numFmtId="164" fontId="2" fillId="0" borderId="2" xfId="0" applyFont="1" applyBorder="1" applyAlignment="1">
      <alignment/>
    </xf>
    <xf numFmtId="164" fontId="2" fillId="0" borderId="3" xfId="0" applyFont="1" applyBorder="1" applyAlignment="1" applyProtection="1">
      <alignment horizontal="fill"/>
      <protection/>
    </xf>
    <xf numFmtId="164" fontId="2" fillId="0" borderId="3" xfId="0" applyFont="1" applyBorder="1" applyAlignment="1" applyProtection="1">
      <alignment horizontal="left"/>
      <protection/>
    </xf>
    <xf numFmtId="164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V113"/>
  <sheetViews>
    <sheetView tabSelected="1" workbookViewId="0" topLeftCell="A1">
      <pane xSplit="1" ySplit="11" topLeftCell="B1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39" sqref="A39"/>
    </sheetView>
  </sheetViews>
  <sheetFormatPr defaultColWidth="11.625" defaultRowHeight="12.75"/>
  <cols>
    <col min="1" max="1" width="28.625" style="2" customWidth="1"/>
    <col min="2" max="4" width="11.625" style="2" customWidth="1"/>
    <col min="5" max="5" width="0.875" style="2" customWidth="1"/>
    <col min="6" max="11" width="11.625" style="2" customWidth="1"/>
    <col min="12" max="12" width="0.875" style="2" customWidth="1"/>
    <col min="13" max="18" width="11.625" style="2" customWidth="1"/>
    <col min="19" max="19" width="0.875" style="2" customWidth="1"/>
    <col min="20" max="25" width="11.625" style="2" customWidth="1"/>
    <col min="26" max="26" width="0.875" style="2" customWidth="1"/>
    <col min="27" max="32" width="11.625" style="2" customWidth="1"/>
    <col min="33" max="33" width="0.875" style="2" customWidth="1"/>
    <col min="34" max="39" width="11.625" style="2" customWidth="1"/>
    <col min="40" max="40" width="0.875" style="2" customWidth="1"/>
    <col min="41" max="46" width="11.625" style="2" customWidth="1"/>
    <col min="47" max="47" width="0.875" style="2" customWidth="1"/>
    <col min="48" max="53" width="11.625" style="2" customWidth="1"/>
    <col min="54" max="54" width="0.875" style="2" customWidth="1"/>
    <col min="55" max="60" width="11.625" style="2" customWidth="1"/>
    <col min="61" max="61" width="0.875" style="2" customWidth="1"/>
    <col min="62" max="67" width="11.625" style="2" customWidth="1"/>
    <col min="68" max="68" width="0.875" style="2" customWidth="1"/>
    <col min="69" max="16384" width="11.625" style="2" customWidth="1"/>
  </cols>
  <sheetData>
    <row r="1" ht="12">
      <c r="A1" s="1" t="s">
        <v>0</v>
      </c>
    </row>
    <row r="2" ht="12">
      <c r="A2" s="1" t="s">
        <v>94</v>
      </c>
    </row>
    <row r="3" spans="1:7" ht="12">
      <c r="A3" s="1" t="s">
        <v>95</v>
      </c>
      <c r="B3" s="3"/>
      <c r="C3" s="3"/>
      <c r="D3" s="3"/>
      <c r="E3" s="3"/>
      <c r="F3" s="3"/>
      <c r="G3" s="3"/>
    </row>
    <row r="4" ht="12">
      <c r="A4" s="1" t="s">
        <v>93</v>
      </c>
    </row>
    <row r="5" spans="1:74" ht="12.75" thickBot="1">
      <c r="A5" s="18" t="s">
        <v>96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</row>
    <row r="6" spans="1:74" ht="12.75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4:74" ht="12">
      <c r="D7" s="5">
        <v>1975</v>
      </c>
      <c r="E7" s="5"/>
      <c r="F7" s="5">
        <v>1976</v>
      </c>
      <c r="K7" s="5">
        <v>1976</v>
      </c>
      <c r="L7" s="5"/>
      <c r="M7" s="5">
        <v>1977</v>
      </c>
      <c r="R7" s="5">
        <v>1977</v>
      </c>
      <c r="S7" s="5"/>
      <c r="T7" s="5">
        <v>1978</v>
      </c>
      <c r="Y7" s="5">
        <v>1978</v>
      </c>
      <c r="Z7" s="5"/>
      <c r="AA7" s="5">
        <v>1979</v>
      </c>
      <c r="AF7" s="5">
        <v>1979</v>
      </c>
      <c r="AG7" s="5"/>
      <c r="AH7" s="5">
        <v>1980</v>
      </c>
      <c r="AM7" s="5">
        <v>1980</v>
      </c>
      <c r="AN7" s="5"/>
      <c r="AO7" s="5">
        <v>1981</v>
      </c>
      <c r="AT7" s="5">
        <v>1981</v>
      </c>
      <c r="AU7" s="5"/>
      <c r="AV7" s="5">
        <v>1982</v>
      </c>
      <c r="BA7" s="5">
        <v>1982</v>
      </c>
      <c r="BB7" s="5"/>
      <c r="BC7" s="5">
        <v>1983</v>
      </c>
      <c r="BH7" s="5">
        <v>1983</v>
      </c>
      <c r="BI7" s="5"/>
      <c r="BJ7" s="5">
        <v>1984</v>
      </c>
      <c r="BO7" s="5">
        <v>1984</v>
      </c>
      <c r="BP7" s="5"/>
      <c r="BQ7" s="5">
        <v>1985</v>
      </c>
      <c r="BV7" s="1" t="s">
        <v>2</v>
      </c>
    </row>
    <row r="8" spans="2:74" ht="12">
      <c r="B8" s="15"/>
      <c r="C8" s="15"/>
      <c r="D8" s="16"/>
      <c r="E8" s="1"/>
      <c r="F8" s="15"/>
      <c r="G8" s="15"/>
      <c r="H8" s="15"/>
      <c r="I8" s="15"/>
      <c r="J8" s="15"/>
      <c r="K8" s="16"/>
      <c r="L8" s="1"/>
      <c r="M8" s="15"/>
      <c r="N8" s="15"/>
      <c r="O8" s="15"/>
      <c r="P8" s="15"/>
      <c r="Q8" s="15"/>
      <c r="R8" s="16"/>
      <c r="S8" s="1"/>
      <c r="T8" s="15"/>
      <c r="U8" s="15"/>
      <c r="V8" s="15"/>
      <c r="W8" s="15"/>
      <c r="X8" s="15"/>
      <c r="Y8" s="16"/>
      <c r="Z8" s="1"/>
      <c r="AA8" s="15"/>
      <c r="AB8" s="15"/>
      <c r="AC8" s="15"/>
      <c r="AD8" s="15"/>
      <c r="AE8" s="15"/>
      <c r="AF8" s="16"/>
      <c r="AG8" s="1"/>
      <c r="AH8" s="15"/>
      <c r="AI8" s="15"/>
      <c r="AJ8" s="15"/>
      <c r="AK8" s="15"/>
      <c r="AL8" s="15"/>
      <c r="AM8" s="16"/>
      <c r="AN8" s="1"/>
      <c r="AO8" s="15"/>
      <c r="AP8" s="15"/>
      <c r="AQ8" s="15"/>
      <c r="AR8" s="15"/>
      <c r="AS8" s="15"/>
      <c r="AT8" s="16"/>
      <c r="AU8" s="1"/>
      <c r="AV8" s="15"/>
      <c r="AW8" s="15"/>
      <c r="AX8" s="15"/>
      <c r="AY8" s="15"/>
      <c r="AZ8" s="15"/>
      <c r="BA8" s="16"/>
      <c r="BB8" s="1"/>
      <c r="BC8" s="15"/>
      <c r="BD8" s="15"/>
      <c r="BE8" s="15"/>
      <c r="BF8" s="15"/>
      <c r="BG8" s="15"/>
      <c r="BH8" s="16"/>
      <c r="BI8" s="1"/>
      <c r="BJ8" s="15"/>
      <c r="BK8" s="15"/>
      <c r="BL8" s="15"/>
      <c r="BM8" s="15"/>
      <c r="BN8" s="15"/>
      <c r="BO8" s="16"/>
      <c r="BP8" s="1"/>
      <c r="BQ8" s="15"/>
      <c r="BR8" s="15"/>
      <c r="BS8" s="15"/>
      <c r="BT8" s="15"/>
      <c r="BU8" s="15"/>
      <c r="BV8" s="16"/>
    </row>
    <row r="9" spans="1:74" ht="12">
      <c r="A9" s="6" t="s">
        <v>3</v>
      </c>
      <c r="B9" s="6" t="s">
        <v>4</v>
      </c>
      <c r="C9" s="6" t="s">
        <v>5</v>
      </c>
      <c r="D9" s="6" t="s">
        <v>6</v>
      </c>
      <c r="E9" s="6"/>
      <c r="F9" s="6" t="s">
        <v>4</v>
      </c>
      <c r="G9" s="6" t="s">
        <v>5</v>
      </c>
      <c r="H9" s="6" t="s">
        <v>6</v>
      </c>
      <c r="I9" s="6" t="s">
        <v>7</v>
      </c>
      <c r="J9" s="6" t="s">
        <v>7</v>
      </c>
      <c r="K9" s="6" t="s">
        <v>7</v>
      </c>
      <c r="L9" s="6"/>
      <c r="M9" s="6" t="s">
        <v>4</v>
      </c>
      <c r="N9" s="6" t="s">
        <v>5</v>
      </c>
      <c r="O9" s="6" t="s">
        <v>6</v>
      </c>
      <c r="P9" s="6" t="s">
        <v>7</v>
      </c>
      <c r="Q9" s="6" t="s">
        <v>7</v>
      </c>
      <c r="R9" s="6" t="s">
        <v>7</v>
      </c>
      <c r="S9" s="6"/>
      <c r="T9" s="6" t="s">
        <v>4</v>
      </c>
      <c r="U9" s="6" t="s">
        <v>5</v>
      </c>
      <c r="V9" s="6" t="s">
        <v>6</v>
      </c>
      <c r="W9" s="6" t="s">
        <v>7</v>
      </c>
      <c r="X9" s="6" t="s">
        <v>7</v>
      </c>
      <c r="Y9" s="6" t="s">
        <v>7</v>
      </c>
      <c r="Z9" s="6"/>
      <c r="AA9" s="6" t="s">
        <v>4</v>
      </c>
      <c r="AB9" s="6" t="s">
        <v>5</v>
      </c>
      <c r="AC9" s="6" t="s">
        <v>6</v>
      </c>
      <c r="AD9" s="6" t="s">
        <v>7</v>
      </c>
      <c r="AE9" s="6" t="s">
        <v>7</v>
      </c>
      <c r="AF9" s="6" t="s">
        <v>7</v>
      </c>
      <c r="AG9" s="6"/>
      <c r="AH9" s="6" t="s">
        <v>4</v>
      </c>
      <c r="AI9" s="6" t="s">
        <v>5</v>
      </c>
      <c r="AJ9" s="6" t="s">
        <v>6</v>
      </c>
      <c r="AK9" s="6" t="s">
        <v>7</v>
      </c>
      <c r="AL9" s="6" t="s">
        <v>7</v>
      </c>
      <c r="AM9" s="6" t="s">
        <v>7</v>
      </c>
      <c r="AN9" s="6"/>
      <c r="AO9" s="6" t="s">
        <v>4</v>
      </c>
      <c r="AP9" s="6" t="s">
        <v>5</v>
      </c>
      <c r="AQ9" s="6" t="s">
        <v>6</v>
      </c>
      <c r="AR9" s="6" t="s">
        <v>7</v>
      </c>
      <c r="AS9" s="6" t="s">
        <v>7</v>
      </c>
      <c r="AT9" s="6" t="s">
        <v>7</v>
      </c>
      <c r="AU9" s="6"/>
      <c r="AV9" s="6" t="s">
        <v>4</v>
      </c>
      <c r="AW9" s="6" t="s">
        <v>5</v>
      </c>
      <c r="AX9" s="6" t="s">
        <v>6</v>
      </c>
      <c r="AY9" s="6" t="s">
        <v>7</v>
      </c>
      <c r="AZ9" s="6" t="s">
        <v>7</v>
      </c>
      <c r="BA9" s="6" t="s">
        <v>7</v>
      </c>
      <c r="BB9" s="6"/>
      <c r="BC9" s="6" t="s">
        <v>4</v>
      </c>
      <c r="BD9" s="6" t="s">
        <v>5</v>
      </c>
      <c r="BE9" s="6" t="s">
        <v>6</v>
      </c>
      <c r="BF9" s="6" t="s">
        <v>7</v>
      </c>
      <c r="BG9" s="6" t="s">
        <v>7</v>
      </c>
      <c r="BH9" s="6" t="s">
        <v>7</v>
      </c>
      <c r="BI9" s="6"/>
      <c r="BJ9" s="6" t="s">
        <v>4</v>
      </c>
      <c r="BK9" s="6" t="s">
        <v>5</v>
      </c>
      <c r="BL9" s="6" t="s">
        <v>6</v>
      </c>
      <c r="BM9" s="6" t="s">
        <v>7</v>
      </c>
      <c r="BN9" s="6" t="s">
        <v>7</v>
      </c>
      <c r="BO9" s="6" t="s">
        <v>7</v>
      </c>
      <c r="BP9" s="6"/>
      <c r="BQ9" s="6" t="s">
        <v>4</v>
      </c>
      <c r="BR9" s="6" t="s">
        <v>5</v>
      </c>
      <c r="BS9" s="6" t="s">
        <v>6</v>
      </c>
      <c r="BT9" s="6" t="s">
        <v>7</v>
      </c>
      <c r="BU9" s="6" t="s">
        <v>7</v>
      </c>
      <c r="BV9" s="6" t="s">
        <v>7</v>
      </c>
    </row>
    <row r="10" spans="2:74" ht="12">
      <c r="B10" s="6" t="s">
        <v>8</v>
      </c>
      <c r="F10" s="6" t="s">
        <v>8</v>
      </c>
      <c r="I10" s="6" t="s">
        <v>9</v>
      </c>
      <c r="J10" s="6" t="s">
        <v>10</v>
      </c>
      <c r="K10" s="6" t="s">
        <v>11</v>
      </c>
      <c r="L10" s="6"/>
      <c r="M10" s="6" t="s">
        <v>8</v>
      </c>
      <c r="P10" s="6" t="s">
        <v>9</v>
      </c>
      <c r="Q10" s="6" t="s">
        <v>10</v>
      </c>
      <c r="R10" s="6" t="s">
        <v>11</v>
      </c>
      <c r="S10" s="6"/>
      <c r="T10" s="6" t="s">
        <v>8</v>
      </c>
      <c r="W10" s="6" t="s">
        <v>9</v>
      </c>
      <c r="X10" s="6" t="s">
        <v>10</v>
      </c>
      <c r="Y10" s="6" t="s">
        <v>11</v>
      </c>
      <c r="Z10" s="6"/>
      <c r="AA10" s="6" t="s">
        <v>8</v>
      </c>
      <c r="AD10" s="6" t="s">
        <v>9</v>
      </c>
      <c r="AE10" s="6" t="s">
        <v>10</v>
      </c>
      <c r="AF10" s="6" t="s">
        <v>11</v>
      </c>
      <c r="AG10" s="6"/>
      <c r="AH10" s="6" t="s">
        <v>8</v>
      </c>
      <c r="AK10" s="6" t="s">
        <v>9</v>
      </c>
      <c r="AL10" s="6" t="s">
        <v>10</v>
      </c>
      <c r="AM10" s="6" t="s">
        <v>11</v>
      </c>
      <c r="AN10" s="6"/>
      <c r="AO10" s="6" t="s">
        <v>8</v>
      </c>
      <c r="AR10" s="6" t="s">
        <v>9</v>
      </c>
      <c r="AS10" s="6" t="s">
        <v>10</v>
      </c>
      <c r="AT10" s="6" t="s">
        <v>11</v>
      </c>
      <c r="AU10" s="6"/>
      <c r="AV10" s="6" t="s">
        <v>8</v>
      </c>
      <c r="AY10" s="6" t="s">
        <v>9</v>
      </c>
      <c r="AZ10" s="6" t="s">
        <v>10</v>
      </c>
      <c r="BA10" s="6" t="s">
        <v>11</v>
      </c>
      <c r="BB10" s="6"/>
      <c r="BC10" s="6" t="s">
        <v>8</v>
      </c>
      <c r="BF10" s="6" t="s">
        <v>9</v>
      </c>
      <c r="BG10" s="6" t="s">
        <v>10</v>
      </c>
      <c r="BH10" s="6" t="s">
        <v>11</v>
      </c>
      <c r="BI10" s="6"/>
      <c r="BJ10" s="6" t="s">
        <v>8</v>
      </c>
      <c r="BM10" s="6" t="s">
        <v>9</v>
      </c>
      <c r="BN10" s="6" t="s">
        <v>10</v>
      </c>
      <c r="BO10" s="6" t="s">
        <v>11</v>
      </c>
      <c r="BP10" s="6"/>
      <c r="BQ10" s="6" t="s">
        <v>8</v>
      </c>
      <c r="BT10" s="6" t="s">
        <v>9</v>
      </c>
      <c r="BU10" s="6" t="s">
        <v>10</v>
      </c>
      <c r="BV10" s="6" t="s">
        <v>11</v>
      </c>
    </row>
    <row r="11" spans="1:74" ht="1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2.75" thickBo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</row>
    <row r="13" spans="1:74" ht="12">
      <c r="A13" s="1" t="s">
        <v>12</v>
      </c>
      <c r="B13" s="5">
        <v>308954</v>
      </c>
      <c r="C13" s="7">
        <v>38.4</v>
      </c>
      <c r="D13" s="8">
        <v>11812300</v>
      </c>
      <c r="E13" s="8"/>
      <c r="F13" s="5">
        <v>287505</v>
      </c>
      <c r="G13" s="7">
        <v>47.8</v>
      </c>
      <c r="H13" s="8">
        <v>13674100</v>
      </c>
      <c r="I13" s="7">
        <f aca="true" t="shared" si="0" ref="I13:I21">F13*100/B13-100</f>
        <v>-6.9424574532131</v>
      </c>
      <c r="J13" s="7">
        <f aca="true" t="shared" si="1" ref="J13:J21">G13*100/C13-100</f>
        <v>24.479166666666664</v>
      </c>
      <c r="K13" s="7">
        <f aca="true" t="shared" si="2" ref="K13:K21">H13*100/D13-100</f>
        <v>15.761536703266934</v>
      </c>
      <c r="L13" s="7"/>
      <c r="M13" s="5">
        <v>275648</v>
      </c>
      <c r="N13" s="7">
        <v>41.2</v>
      </c>
      <c r="O13" s="8">
        <v>11274000</v>
      </c>
      <c r="P13" s="7">
        <f aca="true" t="shared" si="3" ref="P13:P21">M13*100/F13-100</f>
        <v>-4.124102189527139</v>
      </c>
      <c r="Q13" s="7">
        <f aca="true" t="shared" si="4" ref="Q13:Q21">N13*100/G13-100</f>
        <v>-13.807531380753128</v>
      </c>
      <c r="R13" s="7">
        <f aca="true" t="shared" si="5" ref="R13:R21">O13*100/H13-100</f>
        <v>-17.552160654083266</v>
      </c>
      <c r="S13" s="7"/>
      <c r="T13" s="5">
        <v>299800</v>
      </c>
      <c r="U13" s="7">
        <v>43.7</v>
      </c>
      <c r="V13" s="8">
        <v>13108800</v>
      </c>
      <c r="W13" s="7">
        <f aca="true" t="shared" si="6" ref="W13:W21">T13*100/M13-100</f>
        <v>8.761899233805433</v>
      </c>
      <c r="X13" s="7">
        <f aca="true" t="shared" si="7" ref="X13:X21">U13*100/N13-100</f>
        <v>6.067961165048543</v>
      </c>
      <c r="Y13" s="7">
        <f aca="true" t="shared" si="8" ref="Y13:Y21">V13*100/O13-100</f>
        <v>16.274614156466207</v>
      </c>
      <c r="Z13" s="7"/>
      <c r="AA13" s="5">
        <v>303330</v>
      </c>
      <c r="AB13" s="7">
        <v>43.2</v>
      </c>
      <c r="AC13" s="8">
        <v>13051500</v>
      </c>
      <c r="AD13" s="7">
        <f aca="true" t="shared" si="9" ref="AD13:AD21">AA13*100/T13-100</f>
        <v>1.1774516344229486</v>
      </c>
      <c r="AE13" s="7">
        <f aca="true" t="shared" si="10" ref="AE13:AE21">AB13*100/U13-100</f>
        <v>-1.1441647597254003</v>
      </c>
      <c r="AF13" s="7">
        <f aca="true" t="shared" si="11" ref="AF13:AF21">AC13*100/V13-100</f>
        <v>-0.43711094837056025</v>
      </c>
      <c r="AG13" s="7"/>
      <c r="AH13" s="5">
        <v>287545</v>
      </c>
      <c r="AI13" s="7">
        <v>44.2</v>
      </c>
      <c r="AJ13" s="8">
        <v>12702800</v>
      </c>
      <c r="AK13" s="7">
        <f aca="true" t="shared" si="12" ref="AK13:AK21">AH13*100/AA13-100</f>
        <v>-5.203903339597138</v>
      </c>
      <c r="AL13" s="7">
        <f aca="true" t="shared" si="13" ref="AL13:AL21">AI13*100/AB13-100</f>
        <v>2.314814814814815</v>
      </c>
      <c r="AM13" s="7">
        <f aca="true" t="shared" si="14" ref="AM13:AM21">AJ13*100/AC13-100</f>
        <v>-2.671723556679309</v>
      </c>
      <c r="AN13" s="7"/>
      <c r="AO13" s="5">
        <v>280265</v>
      </c>
      <c r="AP13" s="7">
        <v>48.9</v>
      </c>
      <c r="AQ13" s="8">
        <v>13717500</v>
      </c>
      <c r="AR13" s="7">
        <f aca="true" t="shared" si="15" ref="AR13:AR21">AO13*100/AH13-100</f>
        <v>-2.531777634804987</v>
      </c>
      <c r="AS13" s="7">
        <f aca="true" t="shared" si="16" ref="AS13:AS21">AP13*100/AI13-100</f>
        <v>10.633484162895916</v>
      </c>
      <c r="AT13" s="7">
        <f aca="true" t="shared" si="17" ref="AT13:AT21">AQ13*100/AJ13-100</f>
        <v>7.988002645086123</v>
      </c>
      <c r="AU13" s="7"/>
      <c r="AV13" s="5">
        <v>297500</v>
      </c>
      <c r="AW13" s="7">
        <v>54.2</v>
      </c>
      <c r="AX13" s="8">
        <v>16077500</v>
      </c>
      <c r="AY13" s="7">
        <f aca="true" t="shared" si="18" ref="AY13:AY21">AV13*100/AO13-100</f>
        <v>6.149537045296416</v>
      </c>
      <c r="AZ13" s="7">
        <f aca="true" t="shared" si="19" ref="AZ13:AZ21">AW13*100/AP13-100</f>
        <v>10.83844580777097</v>
      </c>
      <c r="BA13" s="7">
        <f aca="true" t="shared" si="20" ref="BA13:BA21">AX13*100/AQ13-100</f>
        <v>17.204301075268816</v>
      </c>
      <c r="BB13" s="7"/>
      <c r="BC13" s="5">
        <v>294620</v>
      </c>
      <c r="BD13" s="7">
        <v>53</v>
      </c>
      <c r="BE13" s="8">
        <v>15607100</v>
      </c>
      <c r="BF13" s="7">
        <f aca="true" t="shared" si="21" ref="BF13:BH18">BC13*100/AV13-100</f>
        <v>-0.9680672268907563</v>
      </c>
      <c r="BG13" s="7">
        <f t="shared" si="21"/>
        <v>-2.2140221402214073</v>
      </c>
      <c r="BH13" s="7">
        <f t="shared" si="21"/>
        <v>-2.925828020525579</v>
      </c>
      <c r="BI13" s="7"/>
      <c r="BJ13" s="5">
        <v>274600</v>
      </c>
      <c r="BK13" s="7">
        <v>49.6</v>
      </c>
      <c r="BL13" s="8">
        <v>13611000</v>
      </c>
      <c r="BM13" s="7">
        <f aca="true" t="shared" si="22" ref="BM13:BO18">BJ13*100/BC13-100</f>
        <v>-6.795193808974272</v>
      </c>
      <c r="BN13" s="7">
        <f t="shared" si="22"/>
        <v>-6.415094339622639</v>
      </c>
      <c r="BO13" s="7">
        <f t="shared" si="22"/>
        <v>-12.789691871007426</v>
      </c>
      <c r="BP13" s="7"/>
      <c r="BQ13" s="5">
        <v>249750</v>
      </c>
      <c r="BR13" s="7">
        <v>48.6</v>
      </c>
      <c r="BS13" s="8">
        <v>12005600</v>
      </c>
      <c r="BT13" s="7">
        <f aca="true" t="shared" si="23" ref="BT13:BV18">BQ13*100/BJ13-100</f>
        <v>-9.04952658412236</v>
      </c>
      <c r="BU13" s="7">
        <f t="shared" si="23"/>
        <v>-2.0161290322580645</v>
      </c>
      <c r="BV13" s="7">
        <f t="shared" si="23"/>
        <v>-11.794871794871796</v>
      </c>
    </row>
    <row r="14" spans="1:74" ht="12">
      <c r="A14" s="1" t="s">
        <v>13</v>
      </c>
      <c r="B14" s="5">
        <v>12660</v>
      </c>
      <c r="C14" s="7">
        <v>30.5</v>
      </c>
      <c r="D14" s="8">
        <v>382200</v>
      </c>
      <c r="E14" s="8"/>
      <c r="F14" s="5">
        <v>22731</v>
      </c>
      <c r="G14" s="7">
        <v>41.4</v>
      </c>
      <c r="H14" s="8">
        <v>923200</v>
      </c>
      <c r="I14" s="7">
        <f t="shared" si="0"/>
        <v>79.54976303317535</v>
      </c>
      <c r="J14" s="7">
        <f t="shared" si="1"/>
        <v>35.73770491803278</v>
      </c>
      <c r="K14" s="7">
        <f t="shared" si="2"/>
        <v>141.548927263213</v>
      </c>
      <c r="L14" s="7"/>
      <c r="M14" s="5">
        <v>14352</v>
      </c>
      <c r="N14" s="7">
        <v>36.4</v>
      </c>
      <c r="O14" s="8">
        <v>515500</v>
      </c>
      <c r="P14" s="7">
        <f t="shared" si="3"/>
        <v>-36.861554705028375</v>
      </c>
      <c r="Q14" s="7">
        <f t="shared" si="4"/>
        <v>-12.077294685990339</v>
      </c>
      <c r="R14" s="7">
        <f t="shared" si="5"/>
        <v>-44.16161178509532</v>
      </c>
      <c r="S14" s="7"/>
      <c r="T14" s="5">
        <v>14121</v>
      </c>
      <c r="U14" s="7">
        <v>36.7</v>
      </c>
      <c r="V14" s="8">
        <v>518500</v>
      </c>
      <c r="W14" s="7">
        <f t="shared" si="6"/>
        <v>-1.609531772575251</v>
      </c>
      <c r="X14" s="7">
        <f t="shared" si="7"/>
        <v>0.8241758241758359</v>
      </c>
      <c r="Y14" s="7">
        <f t="shared" si="8"/>
        <v>0.5819592628516004</v>
      </c>
      <c r="Z14" s="7"/>
      <c r="AA14" s="5">
        <v>14065</v>
      </c>
      <c r="AB14" s="7">
        <v>37.5</v>
      </c>
      <c r="AC14" s="8">
        <v>527600</v>
      </c>
      <c r="AD14" s="7">
        <f t="shared" si="9"/>
        <v>-0.39657248070249984</v>
      </c>
      <c r="AE14" s="7">
        <f t="shared" si="10"/>
        <v>2.1798365122615726</v>
      </c>
      <c r="AF14" s="7">
        <f t="shared" si="11"/>
        <v>1.755062680810029</v>
      </c>
      <c r="AG14" s="7"/>
      <c r="AH14" s="5">
        <v>16760</v>
      </c>
      <c r="AI14" s="7">
        <v>40.6</v>
      </c>
      <c r="AJ14" s="8">
        <v>681100</v>
      </c>
      <c r="AK14" s="7">
        <f t="shared" si="12"/>
        <v>19.16103803768219</v>
      </c>
      <c r="AL14" s="7">
        <f t="shared" si="13"/>
        <v>8.266666666666671</v>
      </c>
      <c r="AM14" s="7">
        <f t="shared" si="14"/>
        <v>29.09401061410159</v>
      </c>
      <c r="AN14" s="7"/>
      <c r="AO14" s="5">
        <v>18900</v>
      </c>
      <c r="AP14" s="7">
        <v>46.7</v>
      </c>
      <c r="AQ14" s="8">
        <v>881700</v>
      </c>
      <c r="AR14" s="7">
        <f t="shared" si="15"/>
        <v>12.768496420047732</v>
      </c>
      <c r="AS14" s="7">
        <f t="shared" si="16"/>
        <v>15.024630541871923</v>
      </c>
      <c r="AT14" s="7">
        <f t="shared" si="17"/>
        <v>29.45235648216121</v>
      </c>
      <c r="AU14" s="7"/>
      <c r="AV14" s="5">
        <v>20010</v>
      </c>
      <c r="AW14" s="7">
        <v>51.9</v>
      </c>
      <c r="AX14" s="8">
        <v>1039300</v>
      </c>
      <c r="AY14" s="7">
        <f t="shared" si="18"/>
        <v>5.873015873015873</v>
      </c>
      <c r="AZ14" s="7">
        <f t="shared" si="19"/>
        <v>11.13490364025695</v>
      </c>
      <c r="BA14" s="7">
        <f t="shared" si="20"/>
        <v>17.874560508109333</v>
      </c>
      <c r="BB14" s="7"/>
      <c r="BC14" s="5">
        <v>29065</v>
      </c>
      <c r="BD14" s="7">
        <v>52.1</v>
      </c>
      <c r="BE14" s="8">
        <v>1515000</v>
      </c>
      <c r="BF14" s="7">
        <f t="shared" si="21"/>
        <v>45.252373813093456</v>
      </c>
      <c r="BG14" s="7">
        <f t="shared" si="21"/>
        <v>0.3853564547206221</v>
      </c>
      <c r="BH14" s="7">
        <f t="shared" si="21"/>
        <v>45.77119214856153</v>
      </c>
      <c r="BI14" s="7"/>
      <c r="BJ14" s="5">
        <v>41900</v>
      </c>
      <c r="BK14" s="7">
        <v>49</v>
      </c>
      <c r="BL14" s="8">
        <v>2090300</v>
      </c>
      <c r="BM14" s="7">
        <f t="shared" si="22"/>
        <v>44.159642181317736</v>
      </c>
      <c r="BN14" s="7">
        <f t="shared" si="22"/>
        <v>-5.95009596928983</v>
      </c>
      <c r="BO14" s="7">
        <f t="shared" si="22"/>
        <v>37.973597359735976</v>
      </c>
      <c r="BP14" s="7"/>
      <c r="BQ14" s="5">
        <v>45830</v>
      </c>
      <c r="BR14" s="7">
        <v>50.8</v>
      </c>
      <c r="BS14" s="8">
        <v>2314200</v>
      </c>
      <c r="BT14" s="7">
        <f t="shared" si="23"/>
        <v>9.379474940334129</v>
      </c>
      <c r="BU14" s="7">
        <f t="shared" si="23"/>
        <v>3.6734693877550963</v>
      </c>
      <c r="BV14" s="7">
        <f t="shared" si="23"/>
        <v>10.711381141462947</v>
      </c>
    </row>
    <row r="15" spans="1:74" ht="12">
      <c r="A15" s="1" t="s">
        <v>14</v>
      </c>
      <c r="B15" s="5">
        <v>181</v>
      </c>
      <c r="C15" s="7">
        <v>19.9</v>
      </c>
      <c r="D15" s="8">
        <v>3600</v>
      </c>
      <c r="E15" s="8"/>
      <c r="F15" s="5">
        <v>125</v>
      </c>
      <c r="G15" s="7">
        <v>23</v>
      </c>
      <c r="H15" s="8">
        <v>2900</v>
      </c>
      <c r="I15" s="7">
        <f t="shared" si="0"/>
        <v>-30.939226519337016</v>
      </c>
      <c r="J15" s="7">
        <f t="shared" si="1"/>
        <v>15.577889447236188</v>
      </c>
      <c r="K15" s="7">
        <f t="shared" si="2"/>
        <v>-19.444444444444443</v>
      </c>
      <c r="L15" s="7"/>
      <c r="M15" s="5">
        <v>105</v>
      </c>
      <c r="N15" s="7">
        <v>21</v>
      </c>
      <c r="O15" s="8">
        <v>2200</v>
      </c>
      <c r="P15" s="7">
        <f t="shared" si="3"/>
        <v>-16</v>
      </c>
      <c r="Q15" s="7">
        <f t="shared" si="4"/>
        <v>-8.695652173913043</v>
      </c>
      <c r="R15" s="7">
        <f t="shared" si="5"/>
        <v>-24.137931034482758</v>
      </c>
      <c r="S15" s="7"/>
      <c r="T15" s="5">
        <v>104</v>
      </c>
      <c r="U15" s="7">
        <v>22.4</v>
      </c>
      <c r="V15" s="8">
        <v>2300</v>
      </c>
      <c r="W15" s="7">
        <f t="shared" si="6"/>
        <v>-0.9523809523809524</v>
      </c>
      <c r="X15" s="7">
        <f t="shared" si="7"/>
        <v>6.66666666666666</v>
      </c>
      <c r="Y15" s="7">
        <f t="shared" si="8"/>
        <v>4.545454545454546</v>
      </c>
      <c r="Z15" s="7"/>
      <c r="AA15" s="5">
        <v>90</v>
      </c>
      <c r="AB15" s="7">
        <v>22.2</v>
      </c>
      <c r="AC15" s="8">
        <v>2000</v>
      </c>
      <c r="AD15" s="7">
        <f t="shared" si="9"/>
        <v>-13.461538461538462</v>
      </c>
      <c r="AE15" s="7">
        <f t="shared" si="10"/>
        <v>-0.8928571428571398</v>
      </c>
      <c r="AF15" s="7">
        <f t="shared" si="11"/>
        <v>-13.043478260869565</v>
      </c>
      <c r="AG15" s="7"/>
      <c r="AH15" s="5">
        <v>70</v>
      </c>
      <c r="AI15" s="7">
        <v>24.3</v>
      </c>
      <c r="AJ15" s="8">
        <v>1700</v>
      </c>
      <c r="AK15" s="7">
        <f t="shared" si="12"/>
        <v>-22.22222222222222</v>
      </c>
      <c r="AL15" s="7">
        <f t="shared" si="13"/>
        <v>9.459459459459467</v>
      </c>
      <c r="AM15" s="7">
        <f t="shared" si="14"/>
        <v>-15</v>
      </c>
      <c r="AN15" s="7"/>
      <c r="AO15" s="5">
        <v>50</v>
      </c>
      <c r="AP15" s="7">
        <v>26</v>
      </c>
      <c r="AQ15" s="8">
        <v>1300</v>
      </c>
      <c r="AR15" s="7">
        <f t="shared" si="15"/>
        <v>-28.571428571428573</v>
      </c>
      <c r="AS15" s="7">
        <f t="shared" si="16"/>
        <v>6.9958847736625485</v>
      </c>
      <c r="AT15" s="7">
        <f t="shared" si="17"/>
        <v>-23.529411764705884</v>
      </c>
      <c r="AU15" s="7"/>
      <c r="AV15" s="5">
        <v>40</v>
      </c>
      <c r="AW15" s="7">
        <v>30</v>
      </c>
      <c r="AX15" s="8">
        <v>1200</v>
      </c>
      <c r="AY15" s="7">
        <f t="shared" si="18"/>
        <v>-20</v>
      </c>
      <c r="AZ15" s="7">
        <f t="shared" si="19"/>
        <v>15.384615384615385</v>
      </c>
      <c r="BA15" s="7">
        <f t="shared" si="20"/>
        <v>-7.6923076923076925</v>
      </c>
      <c r="BB15" s="7"/>
      <c r="BC15" s="5">
        <v>36</v>
      </c>
      <c r="BD15" s="7">
        <v>27.7</v>
      </c>
      <c r="BE15" s="8">
        <v>1000</v>
      </c>
      <c r="BF15" s="7">
        <f t="shared" si="21"/>
        <v>-10</v>
      </c>
      <c r="BG15" s="7">
        <f t="shared" si="21"/>
        <v>-7.666666666666669</v>
      </c>
      <c r="BH15" s="7">
        <f t="shared" si="21"/>
        <v>-16.666666666666668</v>
      </c>
      <c r="BI15" s="7"/>
      <c r="BJ15" s="5">
        <v>34</v>
      </c>
      <c r="BK15" s="7">
        <v>28.8</v>
      </c>
      <c r="BL15" s="8">
        <v>1000</v>
      </c>
      <c r="BM15" s="7">
        <f t="shared" si="22"/>
        <v>-5.555555555555555</v>
      </c>
      <c r="BN15" s="7">
        <f t="shared" si="22"/>
        <v>3.9711191335740126</v>
      </c>
      <c r="BO15" s="7">
        <f t="shared" si="22"/>
        <v>0</v>
      </c>
      <c r="BP15" s="7"/>
      <c r="BQ15" s="5">
        <v>20</v>
      </c>
      <c r="BR15" s="7">
        <v>34</v>
      </c>
      <c r="BS15" s="8">
        <v>700</v>
      </c>
      <c r="BT15" s="7">
        <f t="shared" si="23"/>
        <v>-41.1764705882353</v>
      </c>
      <c r="BU15" s="7">
        <f t="shared" si="23"/>
        <v>18.055555555555554</v>
      </c>
      <c r="BV15" s="7">
        <f t="shared" si="23"/>
        <v>-30</v>
      </c>
    </row>
    <row r="16" spans="1:74" ht="12">
      <c r="A16" s="1" t="s">
        <v>15</v>
      </c>
      <c r="B16" s="5">
        <v>22320</v>
      </c>
      <c r="C16" s="7">
        <v>31.2</v>
      </c>
      <c r="D16" s="8">
        <v>695600</v>
      </c>
      <c r="E16" s="8"/>
      <c r="F16" s="5">
        <v>24110</v>
      </c>
      <c r="G16" s="7">
        <v>36.7</v>
      </c>
      <c r="H16" s="8">
        <v>875300</v>
      </c>
      <c r="I16" s="7">
        <f t="shared" si="0"/>
        <v>8.019713261648745</v>
      </c>
      <c r="J16" s="7">
        <f t="shared" si="1"/>
        <v>17.62820512820514</v>
      </c>
      <c r="K16" s="7">
        <f t="shared" si="2"/>
        <v>25.833812535940197</v>
      </c>
      <c r="L16" s="7"/>
      <c r="M16" s="5">
        <v>30300</v>
      </c>
      <c r="N16" s="7">
        <v>33.5</v>
      </c>
      <c r="O16" s="8">
        <v>1015100</v>
      </c>
      <c r="P16" s="7">
        <f t="shared" si="3"/>
        <v>25.673994193280798</v>
      </c>
      <c r="Q16" s="7">
        <f t="shared" si="4"/>
        <v>-8.71934604904633</v>
      </c>
      <c r="R16" s="7">
        <f t="shared" si="5"/>
        <v>15.971666857077574</v>
      </c>
      <c r="S16" s="7"/>
      <c r="T16" s="5">
        <v>27000</v>
      </c>
      <c r="U16" s="7">
        <v>30.3</v>
      </c>
      <c r="V16" s="8">
        <v>955600</v>
      </c>
      <c r="W16" s="7">
        <f t="shared" si="6"/>
        <v>-10.891089108910892</v>
      </c>
      <c r="X16" s="7">
        <f t="shared" si="7"/>
        <v>-9.552238805970147</v>
      </c>
      <c r="Y16" s="7">
        <f t="shared" si="8"/>
        <v>-5.861491478672052</v>
      </c>
      <c r="Z16" s="7"/>
      <c r="AA16" s="5">
        <v>25900</v>
      </c>
      <c r="AB16" s="7">
        <v>37.5</v>
      </c>
      <c r="AC16" s="8">
        <v>971900</v>
      </c>
      <c r="AD16" s="7">
        <f t="shared" si="9"/>
        <v>-4.074074074074074</v>
      </c>
      <c r="AE16" s="7">
        <f t="shared" si="10"/>
        <v>23.76237623762376</v>
      </c>
      <c r="AF16" s="7">
        <f t="shared" si="11"/>
        <v>1.7057346169945584</v>
      </c>
      <c r="AG16" s="7"/>
      <c r="AH16" s="5">
        <v>31700</v>
      </c>
      <c r="AI16" s="7">
        <v>38.7</v>
      </c>
      <c r="AJ16" s="8">
        <v>1228100</v>
      </c>
      <c r="AK16" s="7">
        <f t="shared" si="12"/>
        <v>22.393822393822393</v>
      </c>
      <c r="AL16" s="7">
        <f t="shared" si="13"/>
        <v>3.2000000000000077</v>
      </c>
      <c r="AM16" s="7">
        <f t="shared" si="14"/>
        <v>26.36073670130672</v>
      </c>
      <c r="AN16" s="7"/>
      <c r="AO16" s="5">
        <v>29500</v>
      </c>
      <c r="AP16" s="7">
        <v>42.9</v>
      </c>
      <c r="AQ16" s="8">
        <v>1264100</v>
      </c>
      <c r="AR16" s="7">
        <f t="shared" si="15"/>
        <v>-6.94006309148265</v>
      </c>
      <c r="AS16" s="7">
        <f t="shared" si="16"/>
        <v>10.852713178294561</v>
      </c>
      <c r="AT16" s="7">
        <f t="shared" si="17"/>
        <v>2.931357381320739</v>
      </c>
      <c r="AU16" s="7"/>
      <c r="AV16" s="5">
        <v>30100</v>
      </c>
      <c r="AW16" s="7">
        <v>46.1</v>
      </c>
      <c r="AX16" s="8">
        <v>1390500</v>
      </c>
      <c r="AY16" s="7">
        <f t="shared" si="18"/>
        <v>2.0338983050847457</v>
      </c>
      <c r="AZ16" s="7">
        <f t="shared" si="19"/>
        <v>7.459207459207466</v>
      </c>
      <c r="BA16" s="7">
        <f t="shared" si="20"/>
        <v>9.999208923344671</v>
      </c>
      <c r="BB16" s="7"/>
      <c r="BC16" s="5">
        <v>37000</v>
      </c>
      <c r="BD16" s="7">
        <v>47.1</v>
      </c>
      <c r="BE16" s="8">
        <v>1743100</v>
      </c>
      <c r="BF16" s="7">
        <f t="shared" si="21"/>
        <v>22.92358803986711</v>
      </c>
      <c r="BG16" s="7">
        <f t="shared" si="21"/>
        <v>2.1691973969631237</v>
      </c>
      <c r="BH16" s="7">
        <f t="shared" si="21"/>
        <v>25.357784969435453</v>
      </c>
      <c r="BI16" s="7"/>
      <c r="BJ16" s="5">
        <v>41300</v>
      </c>
      <c r="BK16" s="7">
        <v>48.5</v>
      </c>
      <c r="BL16" s="8">
        <v>2005200</v>
      </c>
      <c r="BM16" s="7">
        <f t="shared" si="22"/>
        <v>11.621621621621621</v>
      </c>
      <c r="BN16" s="7">
        <f t="shared" si="22"/>
        <v>2.9723991507430965</v>
      </c>
      <c r="BO16" s="7">
        <f t="shared" si="22"/>
        <v>15.036429350008605</v>
      </c>
      <c r="BP16" s="7"/>
      <c r="BQ16" s="5">
        <v>47500</v>
      </c>
      <c r="BR16" s="7">
        <v>47</v>
      </c>
      <c r="BS16" s="8">
        <v>2219600</v>
      </c>
      <c r="BT16" s="7">
        <f t="shared" si="23"/>
        <v>15.012106537530267</v>
      </c>
      <c r="BU16" s="7">
        <f t="shared" si="23"/>
        <v>-3.0927835051546393</v>
      </c>
      <c r="BV16" s="7">
        <f t="shared" si="23"/>
        <v>10.692200279273887</v>
      </c>
    </row>
    <row r="17" spans="1:74" ht="12">
      <c r="A17" s="1" t="s">
        <v>16</v>
      </c>
      <c r="B17" s="5">
        <v>1980</v>
      </c>
      <c r="C17" s="7">
        <v>24.2</v>
      </c>
      <c r="D17" s="8">
        <v>48000</v>
      </c>
      <c r="E17" s="8"/>
      <c r="F17" s="5">
        <v>1430</v>
      </c>
      <c r="G17" s="7">
        <v>26.7</v>
      </c>
      <c r="H17" s="8">
        <v>37100</v>
      </c>
      <c r="I17" s="7">
        <f t="shared" si="0"/>
        <v>-27.77777777777778</v>
      </c>
      <c r="J17" s="7">
        <f t="shared" si="1"/>
        <v>10.330578512396695</v>
      </c>
      <c r="K17" s="7">
        <f t="shared" si="2"/>
        <v>-22.708333333333332</v>
      </c>
      <c r="L17" s="7"/>
      <c r="M17" s="5">
        <v>1385</v>
      </c>
      <c r="N17" s="7">
        <v>24.7</v>
      </c>
      <c r="O17" s="8">
        <v>34200</v>
      </c>
      <c r="P17" s="7">
        <f t="shared" si="3"/>
        <v>-3.1468531468531467</v>
      </c>
      <c r="Q17" s="7">
        <f t="shared" si="4"/>
        <v>-7.490636704119851</v>
      </c>
      <c r="R17" s="7">
        <f t="shared" si="5"/>
        <v>-7.816711590296496</v>
      </c>
      <c r="S17" s="7"/>
      <c r="T17" s="5">
        <v>1280</v>
      </c>
      <c r="U17" s="7">
        <v>25.5</v>
      </c>
      <c r="V17" s="8">
        <v>32700</v>
      </c>
      <c r="W17" s="7">
        <f t="shared" si="6"/>
        <v>-7.581227436823105</v>
      </c>
      <c r="X17" s="7">
        <f t="shared" si="7"/>
        <v>3.2388663967611366</v>
      </c>
      <c r="Y17" s="7">
        <f t="shared" si="8"/>
        <v>-4.385964912280702</v>
      </c>
      <c r="Z17" s="7"/>
      <c r="AA17" s="5">
        <v>1280</v>
      </c>
      <c r="AB17" s="7">
        <v>27.5</v>
      </c>
      <c r="AC17" s="8">
        <v>35200</v>
      </c>
      <c r="AD17" s="7">
        <f t="shared" si="9"/>
        <v>0</v>
      </c>
      <c r="AE17" s="7">
        <f t="shared" si="10"/>
        <v>7.8431372549019605</v>
      </c>
      <c r="AF17" s="7">
        <f t="shared" si="11"/>
        <v>7.6452599388379205</v>
      </c>
      <c r="AG17" s="7"/>
      <c r="AH17" s="5">
        <v>1150</v>
      </c>
      <c r="AI17" s="7">
        <v>27.8</v>
      </c>
      <c r="AJ17" s="8">
        <v>31900</v>
      </c>
      <c r="AK17" s="7">
        <f t="shared" si="12"/>
        <v>-10.15625</v>
      </c>
      <c r="AL17" s="7">
        <f t="shared" si="13"/>
        <v>1.0909090909090935</v>
      </c>
      <c r="AM17" s="7">
        <f t="shared" si="14"/>
        <v>-9.375</v>
      </c>
      <c r="AN17" s="7"/>
      <c r="AO17" s="5">
        <v>1300</v>
      </c>
      <c r="AP17" s="7">
        <v>28.9</v>
      </c>
      <c r="AQ17" s="8">
        <v>37600</v>
      </c>
      <c r="AR17" s="7">
        <f t="shared" si="15"/>
        <v>13.043478260869565</v>
      </c>
      <c r="AS17" s="7">
        <f t="shared" si="16"/>
        <v>3.956834532374093</v>
      </c>
      <c r="AT17" s="7">
        <f t="shared" si="17"/>
        <v>17.86833855799373</v>
      </c>
      <c r="AU17" s="7"/>
      <c r="AV17" s="5">
        <v>1300</v>
      </c>
      <c r="AW17" s="7">
        <v>31.8</v>
      </c>
      <c r="AX17" s="8">
        <v>41300</v>
      </c>
      <c r="AY17" s="7">
        <f t="shared" si="18"/>
        <v>0</v>
      </c>
      <c r="AZ17" s="7">
        <f t="shared" si="19"/>
        <v>10.034602076124575</v>
      </c>
      <c r="BA17" s="7">
        <f t="shared" si="20"/>
        <v>9.840425531914894</v>
      </c>
      <c r="BB17" s="7"/>
      <c r="BC17" s="5">
        <v>1010</v>
      </c>
      <c r="BD17" s="7">
        <v>30.8</v>
      </c>
      <c r="BE17" s="8">
        <v>31100</v>
      </c>
      <c r="BF17" s="7">
        <f t="shared" si="21"/>
        <v>-22.307692307692307</v>
      </c>
      <c r="BG17" s="7">
        <f t="shared" si="21"/>
        <v>-3.144654088050314</v>
      </c>
      <c r="BH17" s="7">
        <f t="shared" si="21"/>
        <v>-24.69733656174334</v>
      </c>
      <c r="BI17" s="7"/>
      <c r="BJ17" s="5">
        <v>1000</v>
      </c>
      <c r="BK17" s="7">
        <v>28.8</v>
      </c>
      <c r="BL17" s="8">
        <v>28800</v>
      </c>
      <c r="BM17" s="7">
        <f t="shared" si="22"/>
        <v>-0.9900990099009901</v>
      </c>
      <c r="BN17" s="7">
        <f t="shared" si="22"/>
        <v>-6.4935064935064934</v>
      </c>
      <c r="BO17" s="7">
        <f t="shared" si="22"/>
        <v>-7.395498392282958</v>
      </c>
      <c r="BP17" s="7"/>
      <c r="BQ17" s="5">
        <v>960</v>
      </c>
      <c r="BR17" s="7">
        <v>29.7</v>
      </c>
      <c r="BS17" s="8">
        <v>28500</v>
      </c>
      <c r="BT17" s="7">
        <f t="shared" si="23"/>
        <v>-4</v>
      </c>
      <c r="BU17" s="7">
        <f t="shared" si="23"/>
        <v>3.124999999999995</v>
      </c>
      <c r="BV17" s="7">
        <f t="shared" si="23"/>
        <v>-1.0416666666666667</v>
      </c>
    </row>
    <row r="18" spans="1:74" ht="12">
      <c r="A18" s="1" t="s">
        <v>17</v>
      </c>
      <c r="B18" s="5">
        <v>32840</v>
      </c>
      <c r="C18" s="7">
        <v>69.6</v>
      </c>
      <c r="D18" s="8">
        <v>2233200</v>
      </c>
      <c r="E18" s="8"/>
      <c r="F18" s="5">
        <v>32885</v>
      </c>
      <c r="G18" s="7">
        <v>69.2</v>
      </c>
      <c r="H18" s="8">
        <v>2244600</v>
      </c>
      <c r="I18" s="7">
        <f t="shared" si="0"/>
        <v>0.13702801461632155</v>
      </c>
      <c r="J18" s="7">
        <f t="shared" si="1"/>
        <v>-0.5747126436781487</v>
      </c>
      <c r="K18" s="7">
        <f t="shared" si="2"/>
        <v>0.5104782375067168</v>
      </c>
      <c r="L18" s="7"/>
      <c r="M18" s="5">
        <v>45350</v>
      </c>
      <c r="N18" s="7">
        <v>73</v>
      </c>
      <c r="O18" s="8">
        <v>3274900</v>
      </c>
      <c r="P18" s="7">
        <f t="shared" si="3"/>
        <v>37.90481982666869</v>
      </c>
      <c r="Q18" s="7">
        <f t="shared" si="4"/>
        <v>5.4913294797687815</v>
      </c>
      <c r="R18" s="7">
        <f t="shared" si="5"/>
        <v>45.901274169116995</v>
      </c>
      <c r="S18" s="7"/>
      <c r="T18" s="5">
        <v>40500</v>
      </c>
      <c r="U18" s="7">
        <v>75.3</v>
      </c>
      <c r="V18" s="8">
        <v>3027600</v>
      </c>
      <c r="W18" s="7">
        <f t="shared" si="6"/>
        <v>-10.694597574421168</v>
      </c>
      <c r="X18" s="7">
        <f t="shared" si="7"/>
        <v>3.1506849315068455</v>
      </c>
      <c r="Y18" s="7">
        <f t="shared" si="8"/>
        <v>-7.5513756145225805</v>
      </c>
      <c r="Z18" s="7"/>
      <c r="AA18" s="5">
        <v>42350</v>
      </c>
      <c r="AB18" s="7">
        <v>69.5</v>
      </c>
      <c r="AC18" s="8">
        <v>2941600</v>
      </c>
      <c r="AD18" s="7">
        <f t="shared" si="9"/>
        <v>4.567901234567901</v>
      </c>
      <c r="AE18" s="7">
        <f t="shared" si="10"/>
        <v>-7.702523240371843</v>
      </c>
      <c r="AF18" s="7">
        <f t="shared" si="11"/>
        <v>-2.8405337561104504</v>
      </c>
      <c r="AG18" s="7"/>
      <c r="AH18" s="5">
        <v>39400</v>
      </c>
      <c r="AI18" s="7">
        <v>78.5</v>
      </c>
      <c r="AJ18" s="8">
        <v>3092900</v>
      </c>
      <c r="AK18" s="7">
        <f t="shared" si="12"/>
        <v>-6.965761511216057</v>
      </c>
      <c r="AL18" s="7">
        <f t="shared" si="13"/>
        <v>12.949640287769784</v>
      </c>
      <c r="AM18" s="7">
        <f t="shared" si="14"/>
        <v>5.143459341854773</v>
      </c>
      <c r="AN18" s="7"/>
      <c r="AO18" s="5">
        <v>43100</v>
      </c>
      <c r="AP18" s="7">
        <v>84.1</v>
      </c>
      <c r="AQ18" s="8">
        <v>3626800</v>
      </c>
      <c r="AR18" s="7">
        <f t="shared" si="15"/>
        <v>9.390862944162437</v>
      </c>
      <c r="AS18" s="7">
        <f t="shared" si="16"/>
        <v>7.133757961783433</v>
      </c>
      <c r="AT18" s="7">
        <f t="shared" si="17"/>
        <v>17.262116460279994</v>
      </c>
      <c r="AU18" s="7"/>
      <c r="AV18" s="5">
        <v>48850</v>
      </c>
      <c r="AW18" s="7">
        <v>77.1</v>
      </c>
      <c r="AX18" s="8">
        <v>3766500</v>
      </c>
      <c r="AY18" s="7">
        <f t="shared" si="18"/>
        <v>13.341067285382831</v>
      </c>
      <c r="AZ18" s="7">
        <f t="shared" si="19"/>
        <v>-8.323424494649228</v>
      </c>
      <c r="BA18" s="7">
        <f t="shared" si="20"/>
        <v>3.851880445571854</v>
      </c>
      <c r="BB18" s="7"/>
      <c r="BC18" s="5">
        <v>51650</v>
      </c>
      <c r="BD18" s="7">
        <v>75.5</v>
      </c>
      <c r="BE18" s="8">
        <v>3897800</v>
      </c>
      <c r="BF18" s="7">
        <f t="shared" si="21"/>
        <v>5.731832139201638</v>
      </c>
      <c r="BG18" s="7">
        <f t="shared" si="21"/>
        <v>-2.075226977950706</v>
      </c>
      <c r="BH18" s="7">
        <f t="shared" si="21"/>
        <v>3.4859949555290055</v>
      </c>
      <c r="BI18" s="7"/>
      <c r="BJ18" s="5">
        <v>50240</v>
      </c>
      <c r="BK18" s="7">
        <v>83.3</v>
      </c>
      <c r="BL18" s="8">
        <v>4184200</v>
      </c>
      <c r="BM18" s="7">
        <f t="shared" si="22"/>
        <v>-2.729912875121007</v>
      </c>
      <c r="BN18" s="7">
        <f t="shared" si="22"/>
        <v>10.331125827814565</v>
      </c>
      <c r="BO18" s="7">
        <f t="shared" si="22"/>
        <v>7.347734619528965</v>
      </c>
      <c r="BP18" s="7"/>
      <c r="BQ18" s="5">
        <v>45455</v>
      </c>
      <c r="BR18" s="7">
        <v>75.7</v>
      </c>
      <c r="BS18" s="8">
        <v>3443600</v>
      </c>
      <c r="BT18" s="7">
        <f t="shared" si="23"/>
        <v>-9.524283439490446</v>
      </c>
      <c r="BU18" s="7">
        <f t="shared" si="23"/>
        <v>-9.123649459783907</v>
      </c>
      <c r="BV18" s="7">
        <f t="shared" si="23"/>
        <v>-17.699918741933942</v>
      </c>
    </row>
    <row r="19" spans="1:74" ht="12">
      <c r="A19" s="1" t="s">
        <v>18</v>
      </c>
      <c r="B19" s="5">
        <v>494</v>
      </c>
      <c r="C19" s="7">
        <v>29.1</v>
      </c>
      <c r="D19" s="8">
        <v>14400</v>
      </c>
      <c r="E19" s="8"/>
      <c r="F19" s="5">
        <v>334</v>
      </c>
      <c r="G19" s="7">
        <v>28.8</v>
      </c>
      <c r="H19" s="8">
        <v>9600</v>
      </c>
      <c r="I19" s="7">
        <f t="shared" si="0"/>
        <v>-32.388663967611336</v>
      </c>
      <c r="J19" s="7">
        <f t="shared" si="1"/>
        <v>-1.0309278350515487</v>
      </c>
      <c r="K19" s="7">
        <f t="shared" si="2"/>
        <v>-33.333333333333336</v>
      </c>
      <c r="L19" s="7"/>
      <c r="M19" s="5">
        <v>260</v>
      </c>
      <c r="N19" s="7">
        <v>34.7</v>
      </c>
      <c r="O19" s="8">
        <v>9000</v>
      </c>
      <c r="P19" s="7">
        <f t="shared" si="3"/>
        <v>-22.15568862275449</v>
      </c>
      <c r="Q19" s="7">
        <f t="shared" si="4"/>
        <v>20.486111111111118</v>
      </c>
      <c r="R19" s="7">
        <f t="shared" si="5"/>
        <v>-6.25</v>
      </c>
      <c r="S19" s="7"/>
      <c r="T19" s="5">
        <v>200</v>
      </c>
      <c r="U19" s="7">
        <v>28.7</v>
      </c>
      <c r="V19" s="8">
        <v>5700</v>
      </c>
      <c r="W19" s="7">
        <f t="shared" si="6"/>
        <v>-23.076923076923077</v>
      </c>
      <c r="X19" s="7">
        <f t="shared" si="7"/>
        <v>-17.291066282420758</v>
      </c>
      <c r="Y19" s="7">
        <f t="shared" si="8"/>
        <v>-36.666666666666664</v>
      </c>
      <c r="Z19" s="7"/>
      <c r="AA19" s="5">
        <v>170</v>
      </c>
      <c r="AB19" s="7">
        <v>29.4</v>
      </c>
      <c r="AC19" s="8">
        <v>5000</v>
      </c>
      <c r="AD19" s="7">
        <f t="shared" si="9"/>
        <v>-15</v>
      </c>
      <c r="AE19" s="7">
        <f t="shared" si="10"/>
        <v>2.4390243902439</v>
      </c>
      <c r="AF19" s="7">
        <f t="shared" si="11"/>
        <v>-12.280701754385966</v>
      </c>
      <c r="AG19" s="7"/>
      <c r="AH19" s="5">
        <v>150</v>
      </c>
      <c r="AI19" s="7">
        <v>30</v>
      </c>
      <c r="AJ19" s="8">
        <v>4500</v>
      </c>
      <c r="AK19" s="7">
        <f t="shared" si="12"/>
        <v>-11.764705882352942</v>
      </c>
      <c r="AL19" s="7">
        <f t="shared" si="13"/>
        <v>2.040816326530617</v>
      </c>
      <c r="AM19" s="7">
        <f t="shared" si="14"/>
        <v>-10</v>
      </c>
      <c r="AN19" s="7"/>
      <c r="AO19" s="5">
        <v>100</v>
      </c>
      <c r="AP19" s="7">
        <v>39</v>
      </c>
      <c r="AQ19" s="8">
        <v>3900</v>
      </c>
      <c r="AR19" s="7">
        <f t="shared" si="15"/>
        <v>-33.333333333333336</v>
      </c>
      <c r="AS19" s="7">
        <f t="shared" si="16"/>
        <v>30</v>
      </c>
      <c r="AT19" s="7">
        <f t="shared" si="17"/>
        <v>-13.333333333333334</v>
      </c>
      <c r="AU19" s="7"/>
      <c r="AV19" s="5">
        <v>100</v>
      </c>
      <c r="AW19" s="7">
        <v>42</v>
      </c>
      <c r="AX19" s="8">
        <v>4200</v>
      </c>
      <c r="AY19" s="7">
        <f t="shared" si="18"/>
        <v>0</v>
      </c>
      <c r="AZ19" s="7">
        <f t="shared" si="19"/>
        <v>7.6923076923076925</v>
      </c>
      <c r="BA19" s="7">
        <f t="shared" si="20"/>
        <v>7.6923076923076925</v>
      </c>
      <c r="BB19" s="7"/>
      <c r="BC19" s="6" t="s">
        <v>1</v>
      </c>
      <c r="BD19" s="6" t="s">
        <v>1</v>
      </c>
      <c r="BE19" s="9" t="s">
        <v>1</v>
      </c>
      <c r="BF19" s="6" t="s">
        <v>1</v>
      </c>
      <c r="BG19" s="6" t="s">
        <v>1</v>
      </c>
      <c r="BH19" s="6" t="s">
        <v>1</v>
      </c>
      <c r="BI19" s="6"/>
      <c r="BJ19" s="6" t="s">
        <v>1</v>
      </c>
      <c r="BK19" s="6" t="s">
        <v>1</v>
      </c>
      <c r="BL19" s="6" t="s">
        <v>1</v>
      </c>
      <c r="BM19" s="6" t="s">
        <v>1</v>
      </c>
      <c r="BN19" s="6" t="s">
        <v>1</v>
      </c>
      <c r="BO19" s="6" t="s">
        <v>1</v>
      </c>
      <c r="BP19" s="6"/>
      <c r="BQ19" s="6" t="s">
        <v>1</v>
      </c>
      <c r="BR19" s="6" t="s">
        <v>1</v>
      </c>
      <c r="BS19" s="6" t="s">
        <v>1</v>
      </c>
      <c r="BT19" s="6" t="s">
        <v>1</v>
      </c>
      <c r="BU19" s="6" t="s">
        <v>1</v>
      </c>
      <c r="BV19" s="6" t="s">
        <v>1</v>
      </c>
    </row>
    <row r="20" spans="1:74" ht="12">
      <c r="A20" s="1" t="s">
        <v>19</v>
      </c>
      <c r="B20" s="5">
        <v>9130</v>
      </c>
      <c r="C20" s="7">
        <v>54.5</v>
      </c>
      <c r="D20" s="8">
        <v>497500</v>
      </c>
      <c r="E20" s="8"/>
      <c r="F20" s="5">
        <v>8640</v>
      </c>
      <c r="G20" s="7">
        <v>45.7</v>
      </c>
      <c r="H20" s="8">
        <v>392900</v>
      </c>
      <c r="I20" s="7">
        <f t="shared" si="0"/>
        <v>-5.366922234392114</v>
      </c>
      <c r="J20" s="7">
        <f t="shared" si="1"/>
        <v>-16.146788990825684</v>
      </c>
      <c r="K20" s="7">
        <f t="shared" si="2"/>
        <v>-21.025125628140703</v>
      </c>
      <c r="L20" s="7"/>
      <c r="M20" s="5">
        <v>9128</v>
      </c>
      <c r="N20" s="7">
        <v>45.5</v>
      </c>
      <c r="O20" s="8">
        <v>414800</v>
      </c>
      <c r="P20" s="7">
        <f t="shared" si="3"/>
        <v>5.648148148148148</v>
      </c>
      <c r="Q20" s="7">
        <f t="shared" si="4"/>
        <v>-0.4376367614879712</v>
      </c>
      <c r="R20" s="7">
        <f t="shared" si="5"/>
        <v>5.5739373886485115</v>
      </c>
      <c r="S20" s="7"/>
      <c r="T20" s="5">
        <v>9060</v>
      </c>
      <c r="U20" s="7">
        <v>45.9</v>
      </c>
      <c r="V20" s="8">
        <v>416000</v>
      </c>
      <c r="W20" s="7">
        <f t="shared" si="6"/>
        <v>-0.7449605609114811</v>
      </c>
      <c r="X20" s="7">
        <f t="shared" si="7"/>
        <v>0.879120879120876</v>
      </c>
      <c r="Y20" s="7">
        <f t="shared" si="8"/>
        <v>0.28929604628736744</v>
      </c>
      <c r="Z20" s="7"/>
      <c r="AA20" s="5">
        <v>8520</v>
      </c>
      <c r="AB20" s="7">
        <v>54.8</v>
      </c>
      <c r="AC20" s="8">
        <v>466500</v>
      </c>
      <c r="AD20" s="7">
        <f t="shared" si="9"/>
        <v>-5.960264900662252</v>
      </c>
      <c r="AE20" s="7">
        <f t="shared" si="10"/>
        <v>19.38997821350762</v>
      </c>
      <c r="AF20" s="7">
        <f t="shared" si="11"/>
        <v>12.139423076923077</v>
      </c>
      <c r="AG20" s="7"/>
      <c r="AH20" s="5">
        <v>6629</v>
      </c>
      <c r="AI20" s="7">
        <v>51.5</v>
      </c>
      <c r="AJ20" s="8">
        <v>341500</v>
      </c>
      <c r="AK20" s="7">
        <f t="shared" si="12"/>
        <v>-22.194835680751172</v>
      </c>
      <c r="AL20" s="7">
        <f t="shared" si="13"/>
        <v>-6.021897810218973</v>
      </c>
      <c r="AM20" s="7">
        <f t="shared" si="14"/>
        <v>-26.79528403001072</v>
      </c>
      <c r="AN20" s="7"/>
      <c r="AO20" s="5">
        <v>5765</v>
      </c>
      <c r="AP20" s="7">
        <v>53.8</v>
      </c>
      <c r="AQ20" s="8">
        <v>310000</v>
      </c>
      <c r="AR20" s="7">
        <f t="shared" si="15"/>
        <v>-13.03364006637502</v>
      </c>
      <c r="AS20" s="7">
        <f t="shared" si="16"/>
        <v>4.466019417475723</v>
      </c>
      <c r="AT20" s="7">
        <f t="shared" si="17"/>
        <v>-9.224011713030746</v>
      </c>
      <c r="AU20" s="7"/>
      <c r="AV20" s="5">
        <v>5765</v>
      </c>
      <c r="AW20" s="7">
        <v>49.1</v>
      </c>
      <c r="AX20" s="8">
        <v>282700</v>
      </c>
      <c r="AY20" s="7">
        <f t="shared" si="18"/>
        <v>0</v>
      </c>
      <c r="AZ20" s="7">
        <f t="shared" si="19"/>
        <v>-8.736059479553896</v>
      </c>
      <c r="BA20" s="7">
        <f t="shared" si="20"/>
        <v>-8.806451612903226</v>
      </c>
      <c r="BB20" s="7"/>
      <c r="BC20" s="5">
        <v>6282</v>
      </c>
      <c r="BD20" s="7">
        <v>57.6</v>
      </c>
      <c r="BE20" s="8">
        <v>361700</v>
      </c>
      <c r="BF20" s="7">
        <f aca="true" t="shared" si="24" ref="BF20:BH21">BC20*100/AV20-100</f>
        <v>8.967909800520381</v>
      </c>
      <c r="BG20" s="7">
        <f t="shared" si="24"/>
        <v>17.311608961303463</v>
      </c>
      <c r="BH20" s="7">
        <f t="shared" si="24"/>
        <v>27.94481782808631</v>
      </c>
      <c r="BI20" s="7"/>
      <c r="BJ20" s="5">
        <v>5874</v>
      </c>
      <c r="BK20" s="7">
        <v>50.4</v>
      </c>
      <c r="BL20" s="8">
        <v>295900</v>
      </c>
      <c r="BM20" s="7">
        <f aca="true" t="shared" si="25" ref="BM20:BO21">BJ20*100/BC20-100</f>
        <v>-6.4947468958930274</v>
      </c>
      <c r="BN20" s="7">
        <f t="shared" si="25"/>
        <v>-12.500000000000005</v>
      </c>
      <c r="BO20" s="7">
        <f t="shared" si="25"/>
        <v>-18.191871716892454</v>
      </c>
      <c r="BP20" s="7"/>
      <c r="BQ20" s="5">
        <v>6079</v>
      </c>
      <c r="BR20" s="7">
        <v>57.4</v>
      </c>
      <c r="BS20" s="8">
        <v>348800</v>
      </c>
      <c r="BT20" s="7">
        <f aca="true" t="shared" si="26" ref="BT20:BV21">BQ20*100/BJ20-100</f>
        <v>3.4899557371467482</v>
      </c>
      <c r="BU20" s="7">
        <f t="shared" si="26"/>
        <v>13.88888888888889</v>
      </c>
      <c r="BV20" s="7">
        <f t="shared" si="26"/>
        <v>17.877661372085164</v>
      </c>
    </row>
    <row r="21" spans="1:74" ht="12">
      <c r="A21" s="1" t="s">
        <v>20</v>
      </c>
      <c r="B21" s="5">
        <v>300</v>
      </c>
      <c r="C21" s="7">
        <v>47.5</v>
      </c>
      <c r="D21" s="8">
        <v>14200</v>
      </c>
      <c r="E21" s="8"/>
      <c r="F21" s="5">
        <v>300</v>
      </c>
      <c r="G21" s="7">
        <v>50</v>
      </c>
      <c r="H21" s="8">
        <v>15000</v>
      </c>
      <c r="I21" s="7">
        <f t="shared" si="0"/>
        <v>0</v>
      </c>
      <c r="J21" s="7">
        <f t="shared" si="1"/>
        <v>5.2631578947368425</v>
      </c>
      <c r="K21" s="7">
        <f t="shared" si="2"/>
        <v>5.633802816901408</v>
      </c>
      <c r="L21" s="7"/>
      <c r="M21" s="5">
        <v>425</v>
      </c>
      <c r="N21" s="7">
        <v>58.2</v>
      </c>
      <c r="O21" s="8">
        <v>24700</v>
      </c>
      <c r="P21" s="7">
        <f t="shared" si="3"/>
        <v>41.666666666666664</v>
      </c>
      <c r="Q21" s="7">
        <f t="shared" si="4"/>
        <v>16.400000000000006</v>
      </c>
      <c r="R21" s="7">
        <f t="shared" si="5"/>
        <v>64.66666666666667</v>
      </c>
      <c r="S21" s="7"/>
      <c r="T21" s="5">
        <v>510</v>
      </c>
      <c r="U21" s="7">
        <v>61.8</v>
      </c>
      <c r="V21" s="8">
        <v>31500</v>
      </c>
      <c r="W21" s="7">
        <f t="shared" si="6"/>
        <v>20</v>
      </c>
      <c r="X21" s="7">
        <f t="shared" si="7"/>
        <v>6.185567010309268</v>
      </c>
      <c r="Y21" s="7">
        <f t="shared" si="8"/>
        <v>27.530364372469634</v>
      </c>
      <c r="Z21" s="7"/>
      <c r="AA21" s="5">
        <v>590</v>
      </c>
      <c r="AB21" s="7">
        <v>64.3</v>
      </c>
      <c r="AC21" s="8">
        <v>37900</v>
      </c>
      <c r="AD21" s="7">
        <f t="shared" si="9"/>
        <v>15.686274509803921</v>
      </c>
      <c r="AE21" s="7">
        <f t="shared" si="10"/>
        <v>4.045307443365696</v>
      </c>
      <c r="AF21" s="7">
        <f t="shared" si="11"/>
        <v>20.317460317460316</v>
      </c>
      <c r="AG21" s="7"/>
      <c r="AH21" s="5">
        <v>643</v>
      </c>
      <c r="AI21" s="7">
        <v>66.3</v>
      </c>
      <c r="AJ21" s="8">
        <v>42600</v>
      </c>
      <c r="AK21" s="7">
        <f t="shared" si="12"/>
        <v>8.983050847457626</v>
      </c>
      <c r="AL21" s="7">
        <f t="shared" si="13"/>
        <v>3.1104199066874028</v>
      </c>
      <c r="AM21" s="7">
        <f t="shared" si="14"/>
        <v>12.401055408970976</v>
      </c>
      <c r="AN21" s="7"/>
      <c r="AO21" s="5">
        <v>1013</v>
      </c>
      <c r="AP21" s="7">
        <v>75</v>
      </c>
      <c r="AQ21" s="8">
        <v>76000</v>
      </c>
      <c r="AR21" s="7">
        <f t="shared" si="15"/>
        <v>57.54276827371695</v>
      </c>
      <c r="AS21" s="7">
        <f t="shared" si="16"/>
        <v>13.122171945701362</v>
      </c>
      <c r="AT21" s="7">
        <f t="shared" si="17"/>
        <v>78.40375586854461</v>
      </c>
      <c r="AU21" s="7"/>
      <c r="AV21" s="5">
        <v>1890</v>
      </c>
      <c r="AW21" s="7">
        <v>64.3</v>
      </c>
      <c r="AX21" s="8">
        <v>121500</v>
      </c>
      <c r="AY21" s="7">
        <f t="shared" si="18"/>
        <v>86.57453109575518</v>
      </c>
      <c r="AZ21" s="7">
        <f t="shared" si="19"/>
        <v>-14.266666666666671</v>
      </c>
      <c r="BA21" s="7">
        <f t="shared" si="20"/>
        <v>59.86842105263158</v>
      </c>
      <c r="BB21" s="7"/>
      <c r="BC21" s="5">
        <v>2240</v>
      </c>
      <c r="BD21" s="7">
        <v>66.7</v>
      </c>
      <c r="BE21" s="8">
        <v>149400</v>
      </c>
      <c r="BF21" s="7">
        <f t="shared" si="24"/>
        <v>18.51851851851852</v>
      </c>
      <c r="BG21" s="7">
        <f t="shared" si="24"/>
        <v>3.732503888024892</v>
      </c>
      <c r="BH21" s="7">
        <f t="shared" si="24"/>
        <v>22.962962962962962</v>
      </c>
      <c r="BI21" s="7"/>
      <c r="BJ21" s="5">
        <v>2930</v>
      </c>
      <c r="BK21" s="7">
        <v>47.4</v>
      </c>
      <c r="BL21" s="8">
        <v>139000</v>
      </c>
      <c r="BM21" s="7">
        <f t="shared" si="25"/>
        <v>30.803571428571427</v>
      </c>
      <c r="BN21" s="7">
        <f t="shared" si="25"/>
        <v>-28.935532233883063</v>
      </c>
      <c r="BO21" s="7">
        <f t="shared" si="25"/>
        <v>-6.961178045515395</v>
      </c>
      <c r="BP21" s="7"/>
      <c r="BQ21" s="5">
        <v>2090</v>
      </c>
      <c r="BR21" s="7">
        <f>91050/BQ21</f>
        <v>43.56459330143541</v>
      </c>
      <c r="BS21" s="8">
        <v>91000</v>
      </c>
      <c r="BT21" s="7">
        <f t="shared" si="26"/>
        <v>-28.668941979522184</v>
      </c>
      <c r="BU21" s="7">
        <f t="shared" si="26"/>
        <v>-8.091575313427406</v>
      </c>
      <c r="BV21" s="7">
        <f t="shared" si="26"/>
        <v>-34.53237410071942</v>
      </c>
    </row>
    <row r="22" spans="1:74" ht="12">
      <c r="A22" s="1" t="s">
        <v>21</v>
      </c>
      <c r="B22" s="5">
        <f>SUM(B13:B21)</f>
        <v>388859</v>
      </c>
      <c r="C22" s="10" t="s">
        <v>1</v>
      </c>
      <c r="D22" s="8">
        <f>SUM(D13:D21)</f>
        <v>15701000</v>
      </c>
      <c r="E22" s="8"/>
      <c r="F22" s="5">
        <f>SUM(F13:F21)</f>
        <v>378060</v>
      </c>
      <c r="G22" s="10" t="s">
        <v>1</v>
      </c>
      <c r="H22" s="8">
        <f>SUM(H13:H21)</f>
        <v>18174700</v>
      </c>
      <c r="I22" s="7">
        <f>F22*100/B22-100</f>
        <v>-2.7770991541921366</v>
      </c>
      <c r="J22" s="10" t="s">
        <v>1</v>
      </c>
      <c r="K22" s="7">
        <f>H22*100/D22-100</f>
        <v>15.755047449207057</v>
      </c>
      <c r="L22" s="7"/>
      <c r="M22" s="5">
        <f>SUM(M13:M21)</f>
        <v>376953</v>
      </c>
      <c r="N22" s="6" t="s">
        <v>1</v>
      </c>
      <c r="O22" s="8">
        <f>SUM(O13:O21)</f>
        <v>16564400</v>
      </c>
      <c r="P22" s="7">
        <f>M22*100/F22-100</f>
        <v>-0.2928106649738137</v>
      </c>
      <c r="Q22" s="10" t="s">
        <v>1</v>
      </c>
      <c r="R22" s="7">
        <f>O22*100/H22-100</f>
        <v>-8.860118736485335</v>
      </c>
      <c r="S22" s="7"/>
      <c r="T22" s="5">
        <f>SUM(T13:T21)</f>
        <v>392575</v>
      </c>
      <c r="U22" s="6" t="s">
        <v>1</v>
      </c>
      <c r="V22" s="8">
        <f>SUM(V13:V21)</f>
        <v>18098700</v>
      </c>
      <c r="W22" s="7">
        <f>T22*100/M22-100</f>
        <v>4.1442832395550635</v>
      </c>
      <c r="X22" s="10" t="s">
        <v>1</v>
      </c>
      <c r="Y22" s="7">
        <f>V22*100/O22-100</f>
        <v>9.262635531622033</v>
      </c>
      <c r="Z22" s="7"/>
      <c r="AA22" s="5">
        <f>SUM(AA13:AA21)</f>
        <v>396295</v>
      </c>
      <c r="AB22" s="6" t="s">
        <v>1</v>
      </c>
      <c r="AC22" s="8">
        <f>SUM(AC13:AC21)</f>
        <v>18039200</v>
      </c>
      <c r="AD22" s="7">
        <f>AA22*100/T22-100</f>
        <v>0.947589632554289</v>
      </c>
      <c r="AE22" s="10" t="s">
        <v>1</v>
      </c>
      <c r="AF22" s="7">
        <f>AC22*100/V22-100</f>
        <v>-0.3287528938542547</v>
      </c>
      <c r="AG22" s="7"/>
      <c r="AH22" s="5">
        <f>SUM(AH13:AH21)</f>
        <v>384047</v>
      </c>
      <c r="AI22" s="10" t="s">
        <v>1</v>
      </c>
      <c r="AJ22" s="8">
        <f>SUM(AJ13:AJ21)</f>
        <v>18127100</v>
      </c>
      <c r="AK22" s="7">
        <f>AH22*100/AA22-100</f>
        <v>-3.090626931957254</v>
      </c>
      <c r="AL22" s="10" t="s">
        <v>1</v>
      </c>
      <c r="AM22" s="7">
        <f>AJ22*100/AC22-100</f>
        <v>0.487272162845359</v>
      </c>
      <c r="AN22" s="7"/>
      <c r="AO22" s="5">
        <f>SUM(AO13:AO21)</f>
        <v>379993</v>
      </c>
      <c r="AP22" s="10" t="s">
        <v>1</v>
      </c>
      <c r="AQ22" s="8">
        <f>SUM(AQ13:AQ21)</f>
        <v>19918900</v>
      </c>
      <c r="AR22" s="7">
        <f>AO22*100/AH22-100</f>
        <v>-1.0555999656292068</v>
      </c>
      <c r="AS22" s="10" t="s">
        <v>1</v>
      </c>
      <c r="AT22" s="7">
        <f>AQ22*100/AJ22-100</f>
        <v>9.884647847697646</v>
      </c>
      <c r="AU22" s="7"/>
      <c r="AV22" s="5">
        <f>SUM(AV13:AV21)</f>
        <v>405555</v>
      </c>
      <c r="AW22" s="10" t="s">
        <v>1</v>
      </c>
      <c r="AX22" s="8">
        <f>SUM(AX13:AX21)</f>
        <v>22724700</v>
      </c>
      <c r="AY22" s="7">
        <f>AV22*100/AO22-100</f>
        <v>6.72696602305832</v>
      </c>
      <c r="AZ22" s="10" t="s">
        <v>1</v>
      </c>
      <c r="BA22" s="7">
        <f>AX22*100/AQ22-100</f>
        <v>14.08611921341038</v>
      </c>
      <c r="BB22" s="7"/>
      <c r="BC22" s="5">
        <f>SUM(BC13:BC21)</f>
        <v>421903</v>
      </c>
      <c r="BD22" s="10" t="s">
        <v>1</v>
      </c>
      <c r="BE22" s="8">
        <f>SUM(BE13:BE21)</f>
        <v>23306200</v>
      </c>
      <c r="BF22" s="7">
        <f>BC22*100/AV22-100</f>
        <v>4.031019220574275</v>
      </c>
      <c r="BG22" s="10" t="s">
        <v>1</v>
      </c>
      <c r="BH22" s="7">
        <f>BE22*100/AX22-100</f>
        <v>2.5588896663102263</v>
      </c>
      <c r="BI22" s="7"/>
      <c r="BJ22" s="5">
        <f>SUM(BJ13:BJ21)</f>
        <v>417878</v>
      </c>
      <c r="BK22" s="10" t="s">
        <v>1</v>
      </c>
      <c r="BL22" s="8">
        <f>SUM(BL13:BL21)</f>
        <v>22355400</v>
      </c>
      <c r="BM22" s="7">
        <f>BJ22*100/BC22-100</f>
        <v>-0.9540107560268593</v>
      </c>
      <c r="BN22" s="10" t="s">
        <v>1</v>
      </c>
      <c r="BO22" s="7">
        <f>BL22*100/BE22-100</f>
        <v>-4.079601136178356</v>
      </c>
      <c r="BP22" s="7"/>
      <c r="BQ22" s="5">
        <f>SUM(BQ13:BQ21)</f>
        <v>397684</v>
      </c>
      <c r="BR22" s="10" t="s">
        <v>1</v>
      </c>
      <c r="BS22" s="8">
        <f>SUM(BS13:BS21)</f>
        <v>20452000</v>
      </c>
      <c r="BT22" s="7">
        <f>BQ22*100/BJ22-100</f>
        <v>-4.8325109242410464</v>
      </c>
      <c r="BU22" s="10" t="s">
        <v>1</v>
      </c>
      <c r="BV22" s="7">
        <f>BS22*100/BL22-100</f>
        <v>-8.51427395618061</v>
      </c>
    </row>
    <row r="23" spans="1:74" ht="12">
      <c r="A23" s="1" t="s">
        <v>22</v>
      </c>
      <c r="B23" s="5">
        <v>1050</v>
      </c>
      <c r="C23" s="7">
        <v>17.8</v>
      </c>
      <c r="D23" s="8">
        <v>18700</v>
      </c>
      <c r="E23" s="8"/>
      <c r="F23" s="5">
        <v>1080</v>
      </c>
      <c r="G23" s="7">
        <v>18.4</v>
      </c>
      <c r="H23" s="8">
        <v>19900</v>
      </c>
      <c r="I23" s="7">
        <f>F23*100/B23-100</f>
        <v>2.857142857142857</v>
      </c>
      <c r="J23" s="7">
        <f>G23*100/C23-100</f>
        <v>3.3707865168539204</v>
      </c>
      <c r="K23" s="7">
        <f>H23*100/D23-100</f>
        <v>6.4171122994652405</v>
      </c>
      <c r="L23" s="7"/>
      <c r="M23" s="5">
        <v>1120</v>
      </c>
      <c r="N23" s="7">
        <v>20.9</v>
      </c>
      <c r="O23" s="8">
        <v>22900</v>
      </c>
      <c r="P23" s="7">
        <f>M23*100/F23-100</f>
        <v>3.7037037037037037</v>
      </c>
      <c r="Q23" s="7">
        <f>N23*100/G23-100</f>
        <v>13.58695652173913</v>
      </c>
      <c r="R23" s="7">
        <f>O23*100/H23-100</f>
        <v>15.075376884422111</v>
      </c>
      <c r="S23" s="7"/>
      <c r="T23" s="5">
        <v>780</v>
      </c>
      <c r="U23" s="7">
        <v>24.1</v>
      </c>
      <c r="V23" s="8">
        <v>18800</v>
      </c>
      <c r="W23" s="7">
        <f>T23*100/M23-100</f>
        <v>-30.357142857142858</v>
      </c>
      <c r="X23" s="7">
        <f>U23*100/N23-100</f>
        <v>15.31100478468901</v>
      </c>
      <c r="Y23" s="7">
        <f>V23*100/O23-100</f>
        <v>-17.903930131004365</v>
      </c>
      <c r="Z23" s="7"/>
      <c r="AA23" s="5">
        <v>790</v>
      </c>
      <c r="AB23" s="7">
        <v>24.1</v>
      </c>
      <c r="AC23" s="8">
        <v>19000</v>
      </c>
      <c r="AD23" s="7">
        <f>AA23*100/T23-100</f>
        <v>1.2820512820512822</v>
      </c>
      <c r="AE23" s="7">
        <f>AB23*100/U23-100</f>
        <v>0</v>
      </c>
      <c r="AF23" s="7">
        <f>AC23*100/V23-100</f>
        <v>1.0638297872340425</v>
      </c>
      <c r="AG23" s="7"/>
      <c r="AH23" s="5">
        <v>730</v>
      </c>
      <c r="AI23" s="7">
        <v>21.6</v>
      </c>
      <c r="AJ23" s="8">
        <v>15800</v>
      </c>
      <c r="AK23" s="7">
        <f>AH23*100/AA23-100</f>
        <v>-7.594936708860759</v>
      </c>
      <c r="AL23" s="7">
        <f>AI23*100/AB23-100</f>
        <v>-10.373443983402488</v>
      </c>
      <c r="AM23" s="7">
        <f>AJ23*100/AC23-100</f>
        <v>-16.842105263157894</v>
      </c>
      <c r="AN23" s="7"/>
      <c r="AO23" s="5">
        <v>675</v>
      </c>
      <c r="AP23" s="7">
        <v>19.8</v>
      </c>
      <c r="AQ23" s="8">
        <v>13400</v>
      </c>
      <c r="AR23" s="7">
        <f>AO23*100/AH23-100</f>
        <v>-7.534246575342466</v>
      </c>
      <c r="AS23" s="7">
        <f>AP23*100/AI23-100</f>
        <v>-8.333333333333336</v>
      </c>
      <c r="AT23" s="7">
        <f>AQ23*100/AJ23-100</f>
        <v>-15.189873417721518</v>
      </c>
      <c r="AU23" s="7"/>
      <c r="AV23" s="5">
        <v>670</v>
      </c>
      <c r="AW23" s="7">
        <v>20.7</v>
      </c>
      <c r="AX23" s="8">
        <v>13900</v>
      </c>
      <c r="AY23" s="7">
        <f>AV23*100/AO23-100</f>
        <v>-0.7407407407407407</v>
      </c>
      <c r="AZ23" s="7">
        <f>AW23*100/AP23-100</f>
        <v>4.545454545454538</v>
      </c>
      <c r="BA23" s="7">
        <f>AX23*100/AQ23-100</f>
        <v>3.7313432835820897</v>
      </c>
      <c r="BB23" s="7"/>
      <c r="BC23" s="5">
        <v>670</v>
      </c>
      <c r="BD23" s="7">
        <v>19.7</v>
      </c>
      <c r="BE23" s="8">
        <v>13200</v>
      </c>
      <c r="BF23" s="7">
        <f>BC23*100/AV23-100</f>
        <v>0</v>
      </c>
      <c r="BG23" s="7">
        <f>BD23*100/AW23-100</f>
        <v>-4.830917874396135</v>
      </c>
      <c r="BH23" s="7">
        <f>BE23*100/AX23-100</f>
        <v>-5.0359712230215825</v>
      </c>
      <c r="BI23" s="7"/>
      <c r="BJ23" s="5">
        <v>500</v>
      </c>
      <c r="BK23" s="7">
        <v>17.4</v>
      </c>
      <c r="BL23" s="8">
        <v>8700</v>
      </c>
      <c r="BM23" s="7">
        <f>BJ23*100/BC23-100</f>
        <v>-25.37313432835821</v>
      </c>
      <c r="BN23" s="7">
        <f>BK23*100/BD23-100</f>
        <v>-11.675126903553304</v>
      </c>
      <c r="BO23" s="7">
        <f>BL23*100/BE23-100</f>
        <v>-34.09090909090909</v>
      </c>
      <c r="BP23" s="7"/>
      <c r="BQ23" s="5">
        <v>500</v>
      </c>
      <c r="BR23" s="7">
        <v>17</v>
      </c>
      <c r="BS23" s="8">
        <v>8500</v>
      </c>
      <c r="BT23" s="7">
        <f>BQ23*100/BJ23-100</f>
        <v>0</v>
      </c>
      <c r="BU23" s="7">
        <f>BR23*100/BK23-100</f>
        <v>-2.2988505747126355</v>
      </c>
      <c r="BV23" s="7">
        <f>BS23*100/BL23-100</f>
        <v>-2.2988505747126435</v>
      </c>
    </row>
    <row r="24" spans="1:74" ht="12">
      <c r="A24" s="1" t="s">
        <v>23</v>
      </c>
      <c r="B24" s="5">
        <v>924</v>
      </c>
      <c r="C24" s="7">
        <v>16.2</v>
      </c>
      <c r="D24" s="8">
        <v>15000</v>
      </c>
      <c r="E24" s="8"/>
      <c r="F24" s="5">
        <v>949</v>
      </c>
      <c r="G24" s="7">
        <v>16</v>
      </c>
      <c r="H24" s="8">
        <v>15200</v>
      </c>
      <c r="I24" s="7">
        <f>F24*100/B24-100</f>
        <v>2.705627705627706</v>
      </c>
      <c r="J24" s="7">
        <f>G24*100/C24-100</f>
        <v>-1.2345679012345636</v>
      </c>
      <c r="K24" s="7">
        <f>H24*100/D24-100</f>
        <v>1.3333333333333333</v>
      </c>
      <c r="L24" s="7"/>
      <c r="M24" s="5">
        <v>913</v>
      </c>
      <c r="N24" s="7">
        <v>17</v>
      </c>
      <c r="O24" s="8">
        <v>15600</v>
      </c>
      <c r="P24" s="7">
        <f>M24*100/F24-100</f>
        <v>-3.793466807165437</v>
      </c>
      <c r="Q24" s="7">
        <f>N24*100/G24-100</f>
        <v>6.25</v>
      </c>
      <c r="R24" s="7">
        <f>O24*100/H24-100</f>
        <v>2.6315789473684212</v>
      </c>
      <c r="S24" s="7"/>
      <c r="T24" s="5">
        <v>1060</v>
      </c>
      <c r="U24" s="7">
        <v>18.3</v>
      </c>
      <c r="V24" s="8">
        <v>19400</v>
      </c>
      <c r="W24" s="7">
        <f>T24*100/M24-100</f>
        <v>16.10076670317634</v>
      </c>
      <c r="X24" s="7">
        <f>U24*100/N24-100</f>
        <v>7.647058823529416</v>
      </c>
      <c r="Y24" s="7">
        <f>V24*100/O24-100</f>
        <v>24.358974358974358</v>
      </c>
      <c r="Z24" s="7"/>
      <c r="AA24" s="5">
        <v>645</v>
      </c>
      <c r="AB24" s="7">
        <v>18.5</v>
      </c>
      <c r="AC24" s="8">
        <v>11900</v>
      </c>
      <c r="AD24" s="7">
        <f>AA24*100/T24-100</f>
        <v>-39.15094339622642</v>
      </c>
      <c r="AE24" s="7">
        <f>AB24*100/U24-100</f>
        <v>1.092896174863384</v>
      </c>
      <c r="AF24" s="7">
        <f>AC24*100/V24-100</f>
        <v>-38.65979381443299</v>
      </c>
      <c r="AG24" s="7"/>
      <c r="AH24" s="5">
        <v>659</v>
      </c>
      <c r="AI24" s="7">
        <v>19.4</v>
      </c>
      <c r="AJ24" s="8">
        <v>12800</v>
      </c>
      <c r="AK24" s="7">
        <f>AH24*100/AA24-100</f>
        <v>2.1705426356589146</v>
      </c>
      <c r="AL24" s="7">
        <f>AI24*100/AB24-100</f>
        <v>4.864864864864857</v>
      </c>
      <c r="AM24" s="7">
        <f>AJ24*100/AC24-100</f>
        <v>7.563025210084033</v>
      </c>
      <c r="AN24" s="7"/>
      <c r="AO24" s="5">
        <v>483</v>
      </c>
      <c r="AP24" s="7">
        <v>20.3</v>
      </c>
      <c r="AQ24" s="8">
        <v>9800</v>
      </c>
      <c r="AR24" s="7">
        <f>AO24*100/AH24-100</f>
        <v>-26.707132018209407</v>
      </c>
      <c r="AS24" s="7">
        <f>AP24*100/AI24-100</f>
        <v>4.63917525773197</v>
      </c>
      <c r="AT24" s="7">
        <f>AQ24*100/AJ24-100</f>
        <v>-23.4375</v>
      </c>
      <c r="AU24" s="7"/>
      <c r="AV24" s="5">
        <v>465</v>
      </c>
      <c r="AW24" s="7">
        <v>21.5</v>
      </c>
      <c r="AX24" s="8">
        <v>10000</v>
      </c>
      <c r="AY24" s="7">
        <f>AV24*100/AO24-100</f>
        <v>-3.7267080745341614</v>
      </c>
      <c r="AZ24" s="7">
        <f>AW24*100/AP24-100</f>
        <v>5.91133004926108</v>
      </c>
      <c r="BA24" s="7">
        <f>AX24*100/AQ24-100</f>
        <v>2.0408163265306123</v>
      </c>
      <c r="BB24" s="7"/>
      <c r="BC24" s="5">
        <v>355</v>
      </c>
      <c r="BD24" s="7">
        <v>18.7</v>
      </c>
      <c r="BE24" s="8">
        <v>6600</v>
      </c>
      <c r="BF24" s="7">
        <f>BC24*100/AV24-100</f>
        <v>-23.655913978494624</v>
      </c>
      <c r="BG24" s="7">
        <f>BD24*100/AW24-100</f>
        <v>-13.023255813953492</v>
      </c>
      <c r="BH24" s="7">
        <f>BE24*100/AX24-100</f>
        <v>-34</v>
      </c>
      <c r="BI24" s="7"/>
      <c r="BJ24" s="5">
        <v>359</v>
      </c>
      <c r="BK24" s="7">
        <v>17.6</v>
      </c>
      <c r="BL24" s="8">
        <v>6400</v>
      </c>
      <c r="BM24" s="7">
        <f>BJ24*100/BC24-100</f>
        <v>1.1267605633802817</v>
      </c>
      <c r="BN24" s="7">
        <f>BK24*100/BD24-100</f>
        <v>-5.8823529411764595</v>
      </c>
      <c r="BO24" s="7">
        <f>BL24*100/BE24-100</f>
        <v>-3.0303030303030303</v>
      </c>
      <c r="BP24" s="7"/>
      <c r="BQ24" s="5">
        <v>423</v>
      </c>
      <c r="BR24" s="7">
        <v>17.3</v>
      </c>
      <c r="BS24" s="8">
        <v>7300</v>
      </c>
      <c r="BT24" s="7">
        <f>BQ24*100/BJ24-100</f>
        <v>17.827298050139277</v>
      </c>
      <c r="BU24" s="7">
        <f>BR24*100/BK24-100</f>
        <v>-1.7045454545454584</v>
      </c>
      <c r="BV24" s="7">
        <f>BS24*100/BL24-100</f>
        <v>14.0625</v>
      </c>
    </row>
    <row r="25" spans="1:74" ht="12">
      <c r="A25" s="1" t="s">
        <v>24</v>
      </c>
      <c r="B25" s="5">
        <v>110</v>
      </c>
      <c r="C25" s="7">
        <v>17.4</v>
      </c>
      <c r="D25" s="8">
        <v>1900</v>
      </c>
      <c r="E25" s="8"/>
      <c r="F25" s="5">
        <v>90</v>
      </c>
      <c r="G25" s="7">
        <v>17.2</v>
      </c>
      <c r="H25" s="8">
        <v>1600</v>
      </c>
      <c r="I25" s="7">
        <f>F25*100/B25-100</f>
        <v>-18.181818181818183</v>
      </c>
      <c r="J25" s="7">
        <f>G25*100/C25-100</f>
        <v>-1.1494252873563178</v>
      </c>
      <c r="K25" s="7">
        <f>H25*100/D25-100</f>
        <v>-15.789473684210526</v>
      </c>
      <c r="L25" s="7"/>
      <c r="M25" s="5">
        <v>95</v>
      </c>
      <c r="N25" s="7">
        <v>18.2</v>
      </c>
      <c r="O25" s="8">
        <v>1700</v>
      </c>
      <c r="P25" s="7">
        <f>M25*100/F25-100</f>
        <v>5.555555555555555</v>
      </c>
      <c r="Q25" s="7">
        <f>N25*100/G25-100</f>
        <v>5.813953488372094</v>
      </c>
      <c r="R25" s="7">
        <f>O25*100/H25-100</f>
        <v>6.25</v>
      </c>
      <c r="S25" s="7"/>
      <c r="T25" s="5">
        <v>110</v>
      </c>
      <c r="U25" s="7">
        <v>18.2</v>
      </c>
      <c r="V25" s="8">
        <v>2000</v>
      </c>
      <c r="W25" s="7">
        <f>T25*100/M25-100</f>
        <v>15.789473684210526</v>
      </c>
      <c r="X25" s="7">
        <f>U25*100/N25-100</f>
        <v>0</v>
      </c>
      <c r="Y25" s="7">
        <f>V25*100/O25-100</f>
        <v>17.647058823529413</v>
      </c>
      <c r="Z25" s="7"/>
      <c r="AA25" s="5">
        <v>280</v>
      </c>
      <c r="AB25" s="7">
        <v>22.5</v>
      </c>
      <c r="AC25" s="8">
        <v>6300</v>
      </c>
      <c r="AD25" s="7">
        <f>AA25*100/T25-100</f>
        <v>154.54545454545453</v>
      </c>
      <c r="AE25" s="7">
        <f>AB25*100/U25-100</f>
        <v>23.62637362637363</v>
      </c>
      <c r="AF25" s="7">
        <f>AC25*100/V25-100</f>
        <v>215</v>
      </c>
      <c r="AG25" s="7"/>
      <c r="AH25" s="5">
        <v>238</v>
      </c>
      <c r="AI25" s="7">
        <v>26.4</v>
      </c>
      <c r="AJ25" s="8">
        <v>6300</v>
      </c>
      <c r="AK25" s="7">
        <f>AH25*100/AA25-100</f>
        <v>-15</v>
      </c>
      <c r="AL25" s="7">
        <f>AI25*100/AB25-100</f>
        <v>17.33333333333333</v>
      </c>
      <c r="AM25" s="7">
        <f>AJ25*100/AC25-100</f>
        <v>0</v>
      </c>
      <c r="AN25" s="7"/>
      <c r="AO25" s="5">
        <v>210</v>
      </c>
      <c r="AP25" s="7">
        <v>26.7</v>
      </c>
      <c r="AQ25" s="8">
        <v>5600</v>
      </c>
      <c r="AR25" s="7">
        <f>AO25*100/AH25-100</f>
        <v>-11.764705882352942</v>
      </c>
      <c r="AS25" s="7">
        <f>AP25*100/AI25-100</f>
        <v>1.1363636363636391</v>
      </c>
      <c r="AT25" s="7">
        <f>AQ25*100/AJ25-100</f>
        <v>-11.11111111111111</v>
      </c>
      <c r="AU25" s="7"/>
      <c r="AV25" s="5">
        <v>215</v>
      </c>
      <c r="AW25" s="7">
        <v>28.8</v>
      </c>
      <c r="AX25" s="8">
        <v>6200</v>
      </c>
      <c r="AY25" s="7">
        <f>AV25*100/AO25-100</f>
        <v>2.380952380952381</v>
      </c>
      <c r="AZ25" s="7">
        <f>AW25*100/AP25-100</f>
        <v>7.865168539325849</v>
      </c>
      <c r="BA25" s="7">
        <f>AX25*100/AQ25-100</f>
        <v>10.714285714285714</v>
      </c>
      <c r="BB25" s="7"/>
      <c r="BC25" s="5">
        <v>195</v>
      </c>
      <c r="BD25" s="7">
        <v>31.5</v>
      </c>
      <c r="BE25" s="8">
        <v>6100</v>
      </c>
      <c r="BF25" s="7">
        <f>BC25*100/AV25-100</f>
        <v>-9.30232558139535</v>
      </c>
      <c r="BG25" s="7">
        <f>BD25*100/AW25-100</f>
        <v>9.374999999999996</v>
      </c>
      <c r="BH25" s="7">
        <f>BE25*100/AX25-100</f>
        <v>-1.6129032258064515</v>
      </c>
      <c r="BI25" s="7"/>
      <c r="BJ25" s="5">
        <v>178</v>
      </c>
      <c r="BK25" s="7">
        <v>33.4</v>
      </c>
      <c r="BL25" s="8">
        <v>5900</v>
      </c>
      <c r="BM25" s="7">
        <f>BJ25*100/BC25-100</f>
        <v>-8.717948717948717</v>
      </c>
      <c r="BN25" s="7">
        <f>BK25*100/BD25-100</f>
        <v>6.031746031746027</v>
      </c>
      <c r="BO25" s="7">
        <f>BL25*100/BE25-100</f>
        <v>-3.278688524590164</v>
      </c>
      <c r="BP25" s="7"/>
      <c r="BQ25" s="5">
        <v>170</v>
      </c>
      <c r="BR25" s="7">
        <f>BS25/BQ25</f>
        <v>30.58823529411765</v>
      </c>
      <c r="BS25" s="8">
        <v>5200</v>
      </c>
      <c r="BT25" s="7">
        <f>BQ25*100/BJ25-100</f>
        <v>-4.49438202247191</v>
      </c>
      <c r="BU25" s="7">
        <f>BR25*100/BK25-100</f>
        <v>-8.41845720324057</v>
      </c>
      <c r="BV25" s="7">
        <f>BS25*100/BL25-100</f>
        <v>-11.864406779661017</v>
      </c>
    </row>
    <row r="26" ht="12">
      <c r="A26" s="1" t="s">
        <v>25</v>
      </c>
    </row>
    <row r="27" spans="1:74" ht="12">
      <c r="A27" s="1" t="s">
        <v>26</v>
      </c>
      <c r="B27" s="5">
        <v>20</v>
      </c>
      <c r="C27" s="7">
        <v>14</v>
      </c>
      <c r="D27" s="8">
        <v>300</v>
      </c>
      <c r="E27" s="8"/>
      <c r="F27" s="5">
        <v>30</v>
      </c>
      <c r="G27" s="7">
        <v>16</v>
      </c>
      <c r="H27" s="8">
        <v>400</v>
      </c>
      <c r="I27" s="7">
        <f aca="true" t="shared" si="27" ref="I27:K28">F27*100/B27-100</f>
        <v>50</v>
      </c>
      <c r="J27" s="7">
        <f t="shared" si="27"/>
        <v>14.285714285714286</v>
      </c>
      <c r="K27" s="7">
        <f t="shared" si="27"/>
        <v>33.333333333333336</v>
      </c>
      <c r="L27" s="7"/>
      <c r="M27" s="5">
        <v>30</v>
      </c>
      <c r="N27" s="7">
        <v>15</v>
      </c>
      <c r="O27" s="8">
        <v>400</v>
      </c>
      <c r="P27" s="7">
        <f aca="true" t="shared" si="28" ref="P27:R28">M27*100/F27-100</f>
        <v>0</v>
      </c>
      <c r="Q27" s="7">
        <f t="shared" si="28"/>
        <v>-6.25</v>
      </c>
      <c r="R27" s="7">
        <f t="shared" si="28"/>
        <v>0</v>
      </c>
      <c r="S27" s="7"/>
      <c r="T27" s="5">
        <v>30</v>
      </c>
      <c r="U27" s="7">
        <v>16</v>
      </c>
      <c r="V27" s="8">
        <v>500</v>
      </c>
      <c r="W27" s="7">
        <f aca="true" t="shared" si="29" ref="W27:Y28">T27*100/M27-100</f>
        <v>0</v>
      </c>
      <c r="X27" s="7">
        <f t="shared" si="29"/>
        <v>6.666666666666667</v>
      </c>
      <c r="Y27" s="7">
        <f t="shared" si="29"/>
        <v>25</v>
      </c>
      <c r="Z27" s="7"/>
      <c r="AA27" s="5">
        <v>30</v>
      </c>
      <c r="AB27" s="7">
        <v>16</v>
      </c>
      <c r="AC27" s="8">
        <v>500</v>
      </c>
      <c r="AD27" s="7">
        <f aca="true" t="shared" si="30" ref="AD27:AF28">AA27*100/T27-100</f>
        <v>0</v>
      </c>
      <c r="AE27" s="7">
        <f t="shared" si="30"/>
        <v>0</v>
      </c>
      <c r="AF27" s="7">
        <f t="shared" si="30"/>
        <v>0</v>
      </c>
      <c r="AG27" s="7"/>
      <c r="AH27" s="5">
        <v>30</v>
      </c>
      <c r="AI27" s="7">
        <v>16.6</v>
      </c>
      <c r="AJ27" s="8">
        <v>500</v>
      </c>
      <c r="AK27" s="7">
        <f aca="true" t="shared" si="31" ref="AK27:AM28">AH27*100/AA27-100</f>
        <v>0</v>
      </c>
      <c r="AL27" s="7">
        <f t="shared" si="31"/>
        <v>3.750000000000009</v>
      </c>
      <c r="AM27" s="7">
        <f t="shared" si="31"/>
        <v>0</v>
      </c>
      <c r="AN27" s="7"/>
      <c r="AO27" s="5">
        <v>30</v>
      </c>
      <c r="AP27" s="7">
        <v>18</v>
      </c>
      <c r="AQ27" s="8">
        <v>500</v>
      </c>
      <c r="AR27" s="7">
        <f aca="true" t="shared" si="32" ref="AR27:AT28">AO27*100/AH27-100</f>
        <v>0</v>
      </c>
      <c r="AS27" s="7">
        <f t="shared" si="32"/>
        <v>8.433734939759027</v>
      </c>
      <c r="AT27" s="7">
        <f t="shared" si="32"/>
        <v>0</v>
      </c>
      <c r="AU27" s="7"/>
      <c r="AV27" s="5">
        <v>30</v>
      </c>
      <c r="AW27" s="7">
        <v>18</v>
      </c>
      <c r="AX27" s="8">
        <v>500</v>
      </c>
      <c r="AY27" s="7">
        <f aca="true" t="shared" si="33" ref="AY27:BA28">AV27*100/AO27-100</f>
        <v>0</v>
      </c>
      <c r="AZ27" s="7">
        <f t="shared" si="33"/>
        <v>0</v>
      </c>
      <c r="BA27" s="7">
        <f t="shared" si="33"/>
        <v>0</v>
      </c>
      <c r="BB27" s="7"/>
      <c r="BC27" s="5">
        <v>30</v>
      </c>
      <c r="BD27" s="7">
        <v>18</v>
      </c>
      <c r="BE27" s="8">
        <v>500</v>
      </c>
      <c r="BF27" s="7">
        <f aca="true" t="shared" si="34" ref="BF27:BH28">BC27*100/AV27-100</f>
        <v>0</v>
      </c>
      <c r="BG27" s="7">
        <f t="shared" si="34"/>
        <v>0</v>
      </c>
      <c r="BH27" s="7">
        <f t="shared" si="34"/>
        <v>0</v>
      </c>
      <c r="BI27" s="7"/>
      <c r="BJ27" s="5">
        <v>30</v>
      </c>
      <c r="BK27" s="7">
        <f>BL27/BJ27</f>
        <v>20</v>
      </c>
      <c r="BL27" s="8">
        <v>600</v>
      </c>
      <c r="BM27" s="7">
        <f aca="true" t="shared" si="35" ref="BM27:BO28">BJ27*100/BC27-100</f>
        <v>0</v>
      </c>
      <c r="BN27" s="7">
        <f t="shared" si="35"/>
        <v>11.11111111111111</v>
      </c>
      <c r="BO27" s="7">
        <f t="shared" si="35"/>
        <v>20</v>
      </c>
      <c r="BP27" s="7"/>
      <c r="BQ27" s="5">
        <v>14</v>
      </c>
      <c r="BR27" s="7">
        <f>BS27/BQ27</f>
        <v>21.428571428571427</v>
      </c>
      <c r="BS27" s="8">
        <v>300</v>
      </c>
      <c r="BT27" s="7">
        <f aca="true" t="shared" si="36" ref="BT27:BV32">BQ27*100/BJ27-100</f>
        <v>-53.333333333333336</v>
      </c>
      <c r="BU27" s="7">
        <f t="shared" si="36"/>
        <v>7.142857142857135</v>
      </c>
      <c r="BV27" s="7">
        <f t="shared" si="36"/>
        <v>-50</v>
      </c>
    </row>
    <row r="28" spans="1:74" ht="12">
      <c r="A28" s="1" t="s">
        <v>27</v>
      </c>
      <c r="B28" s="5">
        <v>9485</v>
      </c>
      <c r="C28" s="7">
        <v>237</v>
      </c>
      <c r="D28" s="8">
        <v>2143800</v>
      </c>
      <c r="E28" s="8"/>
      <c r="F28" s="5">
        <v>10275</v>
      </c>
      <c r="G28" s="7">
        <v>216.2</v>
      </c>
      <c r="H28" s="8">
        <v>2161600</v>
      </c>
      <c r="I28" s="7">
        <f t="shared" si="27"/>
        <v>8.328940432261465</v>
      </c>
      <c r="J28" s="7">
        <f t="shared" si="27"/>
        <v>-8.776371308016882</v>
      </c>
      <c r="K28" s="7">
        <f t="shared" si="27"/>
        <v>0.8303013340796717</v>
      </c>
      <c r="L28" s="7"/>
      <c r="M28" s="5">
        <v>13630</v>
      </c>
      <c r="N28" s="7">
        <v>230.7</v>
      </c>
      <c r="O28" s="8">
        <v>3006000</v>
      </c>
      <c r="P28" s="7">
        <f t="shared" si="28"/>
        <v>32.65206812652068</v>
      </c>
      <c r="Q28" s="7">
        <f t="shared" si="28"/>
        <v>6.706753006475486</v>
      </c>
      <c r="R28" s="7">
        <f t="shared" si="28"/>
        <v>39.063656550703186</v>
      </c>
      <c r="S28" s="7"/>
      <c r="T28" s="5">
        <v>10970</v>
      </c>
      <c r="U28" s="7">
        <v>243.8</v>
      </c>
      <c r="V28" s="8">
        <v>2595800</v>
      </c>
      <c r="W28" s="7">
        <f t="shared" si="29"/>
        <v>-19.515774027879676</v>
      </c>
      <c r="X28" s="7">
        <f t="shared" si="29"/>
        <v>5.678370177719993</v>
      </c>
      <c r="Y28" s="7">
        <f t="shared" si="29"/>
        <v>-13.64604125083167</v>
      </c>
      <c r="Z28" s="7"/>
      <c r="AA28" s="5">
        <v>9590</v>
      </c>
      <c r="AB28" s="7">
        <v>232.4</v>
      </c>
      <c r="AC28" s="8">
        <v>2206600</v>
      </c>
      <c r="AD28" s="7">
        <f t="shared" si="30"/>
        <v>-12.579762989972652</v>
      </c>
      <c r="AE28" s="7">
        <f t="shared" si="30"/>
        <v>-4.675963904840035</v>
      </c>
      <c r="AF28" s="7">
        <f t="shared" si="30"/>
        <v>-14.993450959241851</v>
      </c>
      <c r="AG28" s="7"/>
      <c r="AH28" s="5">
        <v>9500</v>
      </c>
      <c r="AI28" s="7">
        <v>254.3</v>
      </c>
      <c r="AJ28" s="8">
        <v>2409200</v>
      </c>
      <c r="AK28" s="7">
        <f t="shared" si="31"/>
        <v>-0.9384775808133472</v>
      </c>
      <c r="AL28" s="7">
        <f t="shared" si="31"/>
        <v>9.423407917383823</v>
      </c>
      <c r="AM28" s="7">
        <f t="shared" si="31"/>
        <v>9.18154627028007</v>
      </c>
      <c r="AN28" s="7"/>
      <c r="AO28" s="5">
        <v>8910</v>
      </c>
      <c r="AP28" s="7">
        <v>291.4</v>
      </c>
      <c r="AQ28" s="8">
        <v>2581800</v>
      </c>
      <c r="AR28" s="7">
        <f t="shared" si="32"/>
        <v>-6.2105263157894735</v>
      </c>
      <c r="AS28" s="7">
        <f t="shared" si="32"/>
        <v>14.589068029885947</v>
      </c>
      <c r="AT28" s="7">
        <f t="shared" si="32"/>
        <v>7.1642038851070895</v>
      </c>
      <c r="AU28" s="7"/>
      <c r="AV28" s="5">
        <v>7846</v>
      </c>
      <c r="AW28" s="7">
        <v>254.1</v>
      </c>
      <c r="AX28" s="8">
        <v>1992700</v>
      </c>
      <c r="AY28" s="7">
        <f t="shared" si="33"/>
        <v>-11.941638608305276</v>
      </c>
      <c r="AZ28" s="7">
        <f t="shared" si="33"/>
        <v>-12.80027453671928</v>
      </c>
      <c r="BA28" s="7">
        <f t="shared" si="33"/>
        <v>-22.817414207142303</v>
      </c>
      <c r="BB28" s="7"/>
      <c r="BC28" s="5">
        <v>6900</v>
      </c>
      <c r="BD28" s="7">
        <v>277.8</v>
      </c>
      <c r="BE28" s="8">
        <v>1917200</v>
      </c>
      <c r="BF28" s="7">
        <f t="shared" si="34"/>
        <v>-12.057099158807036</v>
      </c>
      <c r="BG28" s="7">
        <f t="shared" si="34"/>
        <v>9.327036599763879</v>
      </c>
      <c r="BH28" s="7">
        <f t="shared" si="34"/>
        <v>-3.788829226677372</v>
      </c>
      <c r="BI28" s="7"/>
      <c r="BJ28" s="5">
        <v>6880</v>
      </c>
      <c r="BK28" s="7">
        <v>260.3</v>
      </c>
      <c r="BL28" s="8">
        <v>1788400</v>
      </c>
      <c r="BM28" s="7">
        <f t="shared" si="35"/>
        <v>-0.2898550724637681</v>
      </c>
      <c r="BN28" s="7">
        <f t="shared" si="35"/>
        <v>-6.299496040316774</v>
      </c>
      <c r="BO28" s="7">
        <f t="shared" si="35"/>
        <v>-6.718130607135405</v>
      </c>
      <c r="BP28" s="7"/>
      <c r="BQ28" s="5">
        <v>7359</v>
      </c>
      <c r="BR28" s="7">
        <v>281.7</v>
      </c>
      <c r="BS28" s="8">
        <v>2072800</v>
      </c>
      <c r="BT28" s="7">
        <f t="shared" si="36"/>
        <v>6.962209302325581</v>
      </c>
      <c r="BU28" s="7">
        <f t="shared" si="36"/>
        <v>8.221283134844402</v>
      </c>
      <c r="BV28" s="7">
        <f t="shared" si="36"/>
        <v>15.902482666070231</v>
      </c>
    </row>
    <row r="29" spans="1:74" ht="12">
      <c r="A29" s="1" t="s">
        <v>28</v>
      </c>
      <c r="D29" s="8"/>
      <c r="E29" s="8"/>
      <c r="H29" s="8"/>
      <c r="I29" s="7"/>
      <c r="J29" s="7"/>
      <c r="K29" s="7"/>
      <c r="L29" s="7"/>
      <c r="O29" s="8"/>
      <c r="P29" s="7"/>
      <c r="Q29" s="7"/>
      <c r="R29" s="7"/>
      <c r="S29" s="7"/>
      <c r="V29" s="8"/>
      <c r="W29" s="7"/>
      <c r="X29" s="7"/>
      <c r="Y29" s="7"/>
      <c r="Z29" s="7"/>
      <c r="AC29" s="8"/>
      <c r="AD29" s="7"/>
      <c r="AE29" s="7"/>
      <c r="AF29" s="7"/>
      <c r="AG29" s="7"/>
      <c r="AJ29" s="8"/>
      <c r="AK29" s="7"/>
      <c r="AL29" s="7"/>
      <c r="AM29" s="7"/>
      <c r="AN29" s="7"/>
      <c r="AQ29" s="8"/>
      <c r="AR29" s="7"/>
      <c r="AS29" s="7"/>
      <c r="AT29" s="7"/>
      <c r="AU29" s="7"/>
      <c r="AX29" s="8"/>
      <c r="AY29" s="7"/>
      <c r="AZ29" s="7"/>
      <c r="BA29" s="7"/>
      <c r="BB29" s="7"/>
      <c r="BE29" s="8"/>
      <c r="BF29" s="7"/>
      <c r="BG29" s="7"/>
      <c r="BH29" s="7"/>
      <c r="BI29" s="7"/>
      <c r="BL29" s="8"/>
      <c r="BM29" s="7"/>
      <c r="BN29" s="7"/>
      <c r="BO29" s="7"/>
      <c r="BP29" s="7"/>
      <c r="BQ29" s="3">
        <v>450</v>
      </c>
      <c r="BR29" s="3">
        <v>284.4</v>
      </c>
      <c r="BS29" s="11">
        <v>128000</v>
      </c>
      <c r="BT29" s="7" t="e">
        <f t="shared" si="36"/>
        <v>#VALUE!</v>
      </c>
      <c r="BU29" s="7" t="e">
        <f t="shared" si="36"/>
        <v>#VALUE!</v>
      </c>
      <c r="BV29" s="7" t="e">
        <f t="shared" si="36"/>
        <v>#VALUE!</v>
      </c>
    </row>
    <row r="30" spans="1:74" ht="12">
      <c r="A30" s="1" t="s">
        <v>29</v>
      </c>
      <c r="B30" s="5">
        <v>1066</v>
      </c>
      <c r="C30" s="7">
        <v>84.4</v>
      </c>
      <c r="D30" s="8">
        <v>89900</v>
      </c>
      <c r="E30" s="8"/>
      <c r="F30" s="5">
        <v>1023</v>
      </c>
      <c r="G30" s="7">
        <v>74.7</v>
      </c>
      <c r="H30" s="8">
        <v>76400</v>
      </c>
      <c r="I30" s="7">
        <f aca="true" t="shared" si="37" ref="I30:K32">F30*100/B30-100</f>
        <v>-4.033771106941838</v>
      </c>
      <c r="J30" s="7">
        <f t="shared" si="37"/>
        <v>-11.492890995260666</v>
      </c>
      <c r="K30" s="7">
        <f t="shared" si="37"/>
        <v>-15.016685205784205</v>
      </c>
      <c r="L30" s="7"/>
      <c r="M30" s="5">
        <v>1020</v>
      </c>
      <c r="N30" s="7">
        <v>85.8</v>
      </c>
      <c r="O30" s="8">
        <v>86100</v>
      </c>
      <c r="P30" s="7">
        <f aca="true" t="shared" si="38" ref="P30:R32">M30*100/F30-100</f>
        <v>-0.2932551319648094</v>
      </c>
      <c r="Q30" s="7">
        <f t="shared" si="38"/>
        <v>14.859437751004007</v>
      </c>
      <c r="R30" s="7">
        <f t="shared" si="38"/>
        <v>12.696335078534032</v>
      </c>
      <c r="S30" s="7"/>
      <c r="T30" s="5">
        <v>1079</v>
      </c>
      <c r="U30" s="7">
        <v>87.3</v>
      </c>
      <c r="V30" s="8">
        <v>92200</v>
      </c>
      <c r="W30" s="7">
        <f aca="true" t="shared" si="39" ref="W30:Y32">T30*100/M30-100</f>
        <v>5.784313725490196</v>
      </c>
      <c r="X30" s="7">
        <f t="shared" si="39"/>
        <v>1.7482517482517483</v>
      </c>
      <c r="Y30" s="7">
        <f t="shared" si="39"/>
        <v>7.084785133565622</v>
      </c>
      <c r="Z30" s="7"/>
      <c r="AA30" s="5">
        <v>1060</v>
      </c>
      <c r="AB30" s="7">
        <v>87.5</v>
      </c>
      <c r="AC30" s="8">
        <v>92800</v>
      </c>
      <c r="AD30" s="7">
        <f aca="true" t="shared" si="40" ref="AD30:AF32">AA30*100/T30-100</f>
        <v>-1.7608897126969416</v>
      </c>
      <c r="AE30" s="7">
        <f t="shared" si="40"/>
        <v>0.22909507445590246</v>
      </c>
      <c r="AF30" s="7">
        <f t="shared" si="40"/>
        <v>0.6507592190889371</v>
      </c>
      <c r="AG30" s="7"/>
      <c r="AH30" s="5">
        <v>972</v>
      </c>
      <c r="AI30" s="7">
        <v>85.7</v>
      </c>
      <c r="AJ30" s="8">
        <v>83300</v>
      </c>
      <c r="AK30" s="7">
        <f aca="true" t="shared" si="41" ref="AK30:AM32">AH30*100/AA30-100</f>
        <v>-8.30188679245283</v>
      </c>
      <c r="AL30" s="7">
        <f t="shared" si="41"/>
        <v>-2.057142857142854</v>
      </c>
      <c r="AM30" s="7">
        <f t="shared" si="41"/>
        <v>-10.237068965517242</v>
      </c>
      <c r="AN30" s="7"/>
      <c r="AO30" s="5">
        <v>960</v>
      </c>
      <c r="AP30" s="7">
        <v>72.9</v>
      </c>
      <c r="AQ30" s="8">
        <v>70000</v>
      </c>
      <c r="AR30" s="7">
        <f aca="true" t="shared" si="42" ref="AR30:AT32">AO30*100/AH30-100</f>
        <v>-1.2345679012345678</v>
      </c>
      <c r="AS30" s="7">
        <f t="shared" si="42"/>
        <v>-14.935822637106181</v>
      </c>
      <c r="AT30" s="7">
        <f t="shared" si="42"/>
        <v>-15.966386554621849</v>
      </c>
      <c r="AU30" s="7"/>
      <c r="AV30" s="5">
        <v>781</v>
      </c>
      <c r="AW30" s="7">
        <v>82.9</v>
      </c>
      <c r="AX30" s="8">
        <v>64800</v>
      </c>
      <c r="AY30" s="7">
        <f aca="true" t="shared" si="43" ref="AY30:BA32">AV30*100/AO30-100</f>
        <v>-18.645833333333332</v>
      </c>
      <c r="AZ30" s="7">
        <f t="shared" si="43"/>
        <v>13.717421124828531</v>
      </c>
      <c r="BA30" s="7">
        <f t="shared" si="43"/>
        <v>-7.428571428571429</v>
      </c>
      <c r="BB30" s="7"/>
      <c r="BC30" s="5">
        <v>815</v>
      </c>
      <c r="BD30" s="7">
        <v>95.2</v>
      </c>
      <c r="BE30" s="8">
        <v>77600</v>
      </c>
      <c r="BF30" s="7">
        <f aca="true" t="shared" si="44" ref="BF30:BH32">BC30*100/AV30-100</f>
        <v>4.353393085787452</v>
      </c>
      <c r="BG30" s="7">
        <f t="shared" si="44"/>
        <v>14.837153196622433</v>
      </c>
      <c r="BH30" s="7">
        <f t="shared" si="44"/>
        <v>19.753086419753085</v>
      </c>
      <c r="BI30" s="7"/>
      <c r="BJ30" s="5">
        <v>717</v>
      </c>
      <c r="BK30" s="7">
        <v>54.4</v>
      </c>
      <c r="BL30" s="8">
        <v>39000</v>
      </c>
      <c r="BM30" s="7">
        <f aca="true" t="shared" si="45" ref="BM30:BO32">BJ30*100/BC30-100</f>
        <v>-12.024539877300613</v>
      </c>
      <c r="BN30" s="7">
        <f t="shared" si="45"/>
        <v>-42.85714285714286</v>
      </c>
      <c r="BO30" s="7">
        <f t="shared" si="45"/>
        <v>-49.74226804123711</v>
      </c>
      <c r="BP30" s="7"/>
      <c r="BQ30" s="5">
        <v>707</v>
      </c>
      <c r="BR30" s="7">
        <v>81.9</v>
      </c>
      <c r="BS30" s="8">
        <v>57900</v>
      </c>
      <c r="BT30" s="7">
        <f t="shared" si="36"/>
        <v>-1.394700139470014</v>
      </c>
      <c r="BU30" s="7">
        <f t="shared" si="36"/>
        <v>50.55147058823531</v>
      </c>
      <c r="BV30" s="7">
        <f t="shared" si="36"/>
        <v>48.46153846153846</v>
      </c>
    </row>
    <row r="31" spans="1:74" ht="12">
      <c r="A31" s="1" t="s">
        <v>30</v>
      </c>
      <c r="B31" s="5">
        <v>1701</v>
      </c>
      <c r="C31" s="7">
        <v>56.8</v>
      </c>
      <c r="D31" s="8">
        <v>86400</v>
      </c>
      <c r="E31" s="8"/>
      <c r="F31" s="5">
        <v>1571</v>
      </c>
      <c r="G31" s="7">
        <v>55.9</v>
      </c>
      <c r="H31" s="8">
        <v>79600</v>
      </c>
      <c r="I31" s="7">
        <f t="shared" si="37"/>
        <v>-7.642563198118753</v>
      </c>
      <c r="J31" s="7">
        <f t="shared" si="37"/>
        <v>-1.5845070422535188</v>
      </c>
      <c r="K31" s="7">
        <f t="shared" si="37"/>
        <v>-7.87037037037037</v>
      </c>
      <c r="L31" s="7"/>
      <c r="M31" s="5">
        <v>1477</v>
      </c>
      <c r="N31" s="7">
        <v>50</v>
      </c>
      <c r="O31" s="8">
        <v>68900</v>
      </c>
      <c r="P31" s="7">
        <f t="shared" si="38"/>
        <v>-5.9834500318268615</v>
      </c>
      <c r="Q31" s="7">
        <f t="shared" si="38"/>
        <v>-10.554561717352414</v>
      </c>
      <c r="R31" s="7">
        <f t="shared" si="38"/>
        <v>-13.442211055276381</v>
      </c>
      <c r="S31" s="7"/>
      <c r="T31" s="5">
        <v>1427</v>
      </c>
      <c r="U31" s="7">
        <v>54.8</v>
      </c>
      <c r="V31" s="8">
        <v>72500</v>
      </c>
      <c r="W31" s="7">
        <f t="shared" si="39"/>
        <v>-3.3852403520649967</v>
      </c>
      <c r="X31" s="7">
        <f t="shared" si="39"/>
        <v>9.599999999999994</v>
      </c>
      <c r="Y31" s="7">
        <f t="shared" si="39"/>
        <v>5.2249637155297535</v>
      </c>
      <c r="Z31" s="7"/>
      <c r="AA31" s="5">
        <v>1398</v>
      </c>
      <c r="AB31" s="7">
        <v>59.4</v>
      </c>
      <c r="AC31" s="8">
        <v>77600</v>
      </c>
      <c r="AD31" s="7">
        <f t="shared" si="40"/>
        <v>-2.032235459004905</v>
      </c>
      <c r="AE31" s="7">
        <f t="shared" si="40"/>
        <v>8.39416058394161</v>
      </c>
      <c r="AF31" s="7">
        <f t="shared" si="40"/>
        <v>7.0344827586206895</v>
      </c>
      <c r="AG31" s="7"/>
      <c r="AH31" s="5">
        <v>1448</v>
      </c>
      <c r="AI31" s="7">
        <v>55.4</v>
      </c>
      <c r="AJ31" s="8">
        <v>70900</v>
      </c>
      <c r="AK31" s="7">
        <f t="shared" si="41"/>
        <v>3.57653791130186</v>
      </c>
      <c r="AL31" s="7">
        <f t="shared" si="41"/>
        <v>-6.734006734006734</v>
      </c>
      <c r="AM31" s="7">
        <f t="shared" si="41"/>
        <v>-8.6340206185567</v>
      </c>
      <c r="AN31" s="7"/>
      <c r="AO31" s="5">
        <v>1448</v>
      </c>
      <c r="AP31" s="7">
        <v>58.8</v>
      </c>
      <c r="AQ31" s="8">
        <v>72100</v>
      </c>
      <c r="AR31" s="7">
        <f t="shared" si="42"/>
        <v>0</v>
      </c>
      <c r="AS31" s="7">
        <f t="shared" si="42"/>
        <v>6.137184115523463</v>
      </c>
      <c r="AT31" s="7">
        <f t="shared" si="42"/>
        <v>1.692524682651622</v>
      </c>
      <c r="AU31" s="7"/>
      <c r="AV31" s="5">
        <v>1161</v>
      </c>
      <c r="AW31" s="7">
        <v>56.2</v>
      </c>
      <c r="AX31" s="8">
        <v>55000</v>
      </c>
      <c r="AY31" s="7">
        <f t="shared" si="43"/>
        <v>-19.820441988950275</v>
      </c>
      <c r="AZ31" s="7">
        <f t="shared" si="43"/>
        <v>-4.4217687074829835</v>
      </c>
      <c r="BA31" s="7">
        <f t="shared" si="43"/>
        <v>-23.717059639389735</v>
      </c>
      <c r="BB31" s="7"/>
      <c r="BC31" s="5">
        <v>1182</v>
      </c>
      <c r="BD31" s="7">
        <v>52.4</v>
      </c>
      <c r="BE31" s="8">
        <v>51700</v>
      </c>
      <c r="BF31" s="7">
        <f t="shared" si="44"/>
        <v>1.8087855297157622</v>
      </c>
      <c r="BG31" s="7">
        <f t="shared" si="44"/>
        <v>-6.7615658362989395</v>
      </c>
      <c r="BH31" s="7">
        <f t="shared" si="44"/>
        <v>-6</v>
      </c>
      <c r="BI31" s="7"/>
      <c r="BJ31" s="5">
        <v>1216</v>
      </c>
      <c r="BK31" s="7">
        <v>48.1</v>
      </c>
      <c r="BL31" s="8">
        <v>52200</v>
      </c>
      <c r="BM31" s="7">
        <f t="shared" si="45"/>
        <v>2.8764805414551606</v>
      </c>
      <c r="BN31" s="7">
        <f t="shared" si="45"/>
        <v>-8.206106870229002</v>
      </c>
      <c r="BO31" s="7">
        <f t="shared" si="45"/>
        <v>0.9671179883945842</v>
      </c>
      <c r="BP31" s="7"/>
      <c r="BQ31" s="5">
        <v>1114</v>
      </c>
      <c r="BR31" s="7">
        <v>42</v>
      </c>
      <c r="BS31" s="8">
        <v>40700</v>
      </c>
      <c r="BT31" s="7">
        <f t="shared" si="36"/>
        <v>-8.388157894736842</v>
      </c>
      <c r="BU31" s="7">
        <f t="shared" si="36"/>
        <v>-12.681912681912685</v>
      </c>
      <c r="BV31" s="7">
        <f t="shared" si="36"/>
        <v>-22.03065134099617</v>
      </c>
    </row>
    <row r="32" spans="1:74" ht="12">
      <c r="A32" s="1" t="s">
        <v>31</v>
      </c>
      <c r="B32" s="12">
        <v>8.35</v>
      </c>
      <c r="C32" s="7">
        <f>640/B32</f>
        <v>76.64670658682635</v>
      </c>
      <c r="D32" s="8">
        <v>620</v>
      </c>
      <c r="E32" s="8"/>
      <c r="F32" s="12">
        <v>7.8</v>
      </c>
      <c r="G32" s="7">
        <f>560/F32</f>
        <v>71.7948717948718</v>
      </c>
      <c r="H32" s="8">
        <v>530</v>
      </c>
      <c r="I32" s="7">
        <f t="shared" si="37"/>
        <v>-6.586826347305387</v>
      </c>
      <c r="J32" s="7">
        <f t="shared" si="37"/>
        <v>-6.330128205128213</v>
      </c>
      <c r="K32" s="7">
        <f t="shared" si="37"/>
        <v>-14.516129032258064</v>
      </c>
      <c r="L32" s="7"/>
      <c r="M32" s="12">
        <v>3.8</v>
      </c>
      <c r="N32" s="17">
        <f>290/M32</f>
        <v>76.31578947368422</v>
      </c>
      <c r="O32" s="8">
        <v>270</v>
      </c>
      <c r="P32" s="7">
        <f t="shared" si="38"/>
        <v>-51.282051282051285</v>
      </c>
      <c r="Q32" s="7">
        <f t="shared" si="38"/>
        <v>6.296992481203019</v>
      </c>
      <c r="R32" s="7">
        <f t="shared" si="38"/>
        <v>-49.056603773584904</v>
      </c>
      <c r="S32" s="7"/>
      <c r="T32" s="12">
        <v>3.5</v>
      </c>
      <c r="U32" s="7">
        <f>250/T32</f>
        <v>71.42857142857143</v>
      </c>
      <c r="V32" s="8">
        <v>240</v>
      </c>
      <c r="W32" s="7">
        <f t="shared" si="39"/>
        <v>-7.894736842105259</v>
      </c>
      <c r="X32" s="7">
        <f t="shared" si="39"/>
        <v>-6.403940886699516</v>
      </c>
      <c r="Y32" s="7">
        <f t="shared" si="39"/>
        <v>-11.11111111111111</v>
      </c>
      <c r="Z32" s="7"/>
      <c r="AA32" s="12">
        <v>2.5</v>
      </c>
      <c r="AB32" s="7">
        <v>80</v>
      </c>
      <c r="AC32" s="8">
        <v>160</v>
      </c>
      <c r="AD32" s="7">
        <f t="shared" si="40"/>
        <v>-28.571428571428573</v>
      </c>
      <c r="AE32" s="7">
        <f t="shared" si="40"/>
        <v>11.999999999999996</v>
      </c>
      <c r="AF32" s="7">
        <f t="shared" si="40"/>
        <v>-33.333333333333336</v>
      </c>
      <c r="AG32" s="7"/>
      <c r="AH32" s="13">
        <v>200</v>
      </c>
      <c r="AI32" s="7">
        <v>60</v>
      </c>
      <c r="AJ32" s="8">
        <v>120</v>
      </c>
      <c r="AK32" s="7">
        <f t="shared" si="41"/>
        <v>7900</v>
      </c>
      <c r="AL32" s="7">
        <f t="shared" si="41"/>
        <v>-25</v>
      </c>
      <c r="AM32" s="7">
        <f t="shared" si="41"/>
        <v>-25</v>
      </c>
      <c r="AN32" s="7"/>
      <c r="AO32" s="5">
        <v>220</v>
      </c>
      <c r="AP32" s="7">
        <v>59.1</v>
      </c>
      <c r="AQ32" s="8">
        <v>120</v>
      </c>
      <c r="AR32" s="7">
        <f t="shared" si="42"/>
        <v>10</v>
      </c>
      <c r="AS32" s="7">
        <f t="shared" si="42"/>
        <v>-1.4999999999999976</v>
      </c>
      <c r="AT32" s="7">
        <f t="shared" si="42"/>
        <v>0</v>
      </c>
      <c r="AU32" s="7"/>
      <c r="AV32" s="5">
        <v>200</v>
      </c>
      <c r="AW32" s="7">
        <v>60</v>
      </c>
      <c r="AX32" s="8">
        <v>110</v>
      </c>
      <c r="AY32" s="7">
        <f t="shared" si="43"/>
        <v>-9.090909090909092</v>
      </c>
      <c r="AZ32" s="7">
        <f t="shared" si="43"/>
        <v>1.522842639593906</v>
      </c>
      <c r="BA32" s="7">
        <f t="shared" si="43"/>
        <v>-8.333333333333334</v>
      </c>
      <c r="BB32" s="7"/>
      <c r="BC32" s="5">
        <v>600</v>
      </c>
      <c r="BD32" s="7">
        <v>80</v>
      </c>
      <c r="BE32" s="8">
        <v>450</v>
      </c>
      <c r="BF32" s="7">
        <f t="shared" si="44"/>
        <v>200</v>
      </c>
      <c r="BG32" s="7">
        <f t="shared" si="44"/>
        <v>33.333333333333336</v>
      </c>
      <c r="BH32" s="7">
        <f t="shared" si="44"/>
        <v>309.09090909090907</v>
      </c>
      <c r="BI32" s="7"/>
      <c r="BJ32" s="5">
        <v>6</v>
      </c>
      <c r="BK32" s="7">
        <v>100</v>
      </c>
      <c r="BL32" s="8">
        <v>600</v>
      </c>
      <c r="BM32" s="7">
        <f t="shared" si="45"/>
        <v>-99</v>
      </c>
      <c r="BN32" s="7">
        <f t="shared" si="45"/>
        <v>25</v>
      </c>
      <c r="BO32" s="7">
        <f t="shared" si="45"/>
        <v>33.333333333333336</v>
      </c>
      <c r="BP32" s="7"/>
      <c r="BQ32" s="5">
        <v>6</v>
      </c>
      <c r="BR32" s="7">
        <v>120</v>
      </c>
      <c r="BS32" s="8">
        <v>720</v>
      </c>
      <c r="BT32" s="7">
        <f t="shared" si="36"/>
        <v>0</v>
      </c>
      <c r="BU32" s="7">
        <f t="shared" si="36"/>
        <v>20</v>
      </c>
      <c r="BV32" s="7">
        <f t="shared" si="36"/>
        <v>20</v>
      </c>
    </row>
    <row r="33" spans="1:74" ht="12">
      <c r="A33" s="1" t="s">
        <v>8</v>
      </c>
      <c r="B33" s="5">
        <f>B32+B31</f>
        <v>1709.35</v>
      </c>
      <c r="C33" s="10" t="s">
        <v>1</v>
      </c>
      <c r="D33" s="8">
        <f>D32+D31</f>
        <v>87020</v>
      </c>
      <c r="E33" s="8"/>
      <c r="F33" s="5">
        <f>F32+F31</f>
        <v>1578.8</v>
      </c>
      <c r="G33" s="10" t="s">
        <v>1</v>
      </c>
      <c r="H33" s="8">
        <f>H32+H31</f>
        <v>80130</v>
      </c>
      <c r="I33" s="7">
        <f>F33*100/B33-100</f>
        <v>-7.637406031532452</v>
      </c>
      <c r="J33" s="10" t="s">
        <v>1</v>
      </c>
      <c r="K33" s="7">
        <f>H33*100/D33-100</f>
        <v>-7.917720064353023</v>
      </c>
      <c r="L33" s="7"/>
      <c r="M33" s="5">
        <f>M31+M32</f>
        <v>1480.8</v>
      </c>
      <c r="N33" s="6" t="s">
        <v>1</v>
      </c>
      <c r="O33" s="8">
        <f>O32+O31</f>
        <v>69170</v>
      </c>
      <c r="P33" s="7">
        <f>M33*100/F33-100</f>
        <v>-6.207246009627565</v>
      </c>
      <c r="Q33" s="10" t="s">
        <v>1</v>
      </c>
      <c r="R33" s="7">
        <f>O33*100/H33-100</f>
        <v>-13.67777361787096</v>
      </c>
      <c r="S33" s="7"/>
      <c r="T33" s="5">
        <f>T32+T31</f>
        <v>1430.5</v>
      </c>
      <c r="U33" s="6" t="s">
        <v>1</v>
      </c>
      <c r="V33" s="8">
        <f>V32+V31</f>
        <v>72740</v>
      </c>
      <c r="W33" s="7">
        <f>T33*100/M33-100</f>
        <v>-3.3968125337655293</v>
      </c>
      <c r="X33" s="10" t="s">
        <v>1</v>
      </c>
      <c r="Y33" s="7">
        <f>V33*100/O33-100</f>
        <v>5.161197050744542</v>
      </c>
      <c r="Z33" s="7"/>
      <c r="AA33" s="5">
        <f>AA32+AA31</f>
        <v>1400.5</v>
      </c>
      <c r="AB33" s="6" t="s">
        <v>1</v>
      </c>
      <c r="AC33" s="8">
        <f>AC32+AC31</f>
        <v>77760</v>
      </c>
      <c r="AD33" s="7">
        <f>AA33*100/T33-100</f>
        <v>-2.097168822090178</v>
      </c>
      <c r="AE33" s="10" t="s">
        <v>1</v>
      </c>
      <c r="AF33" s="7">
        <f>AC33*100/V33-100</f>
        <v>6.901292273852076</v>
      </c>
      <c r="AG33" s="7"/>
      <c r="AH33" s="5">
        <f>AH32+AH31</f>
        <v>1648</v>
      </c>
      <c r="AI33" s="10" t="s">
        <v>1</v>
      </c>
      <c r="AJ33" s="8">
        <f>AJ32+AJ31</f>
        <v>71020</v>
      </c>
      <c r="AK33" s="7">
        <f>AH33*100/AA33-100</f>
        <v>17.67225990717601</v>
      </c>
      <c r="AL33" s="10" t="s">
        <v>1</v>
      </c>
      <c r="AM33" s="7">
        <f>AJ33*100/AC33-100</f>
        <v>-8.66769547325103</v>
      </c>
      <c r="AN33" s="7"/>
      <c r="AO33" s="5">
        <f>AO32+AO31</f>
        <v>1668</v>
      </c>
      <c r="AP33" s="10" t="s">
        <v>1</v>
      </c>
      <c r="AQ33" s="8">
        <f>AQ32+AQ31</f>
        <v>72220</v>
      </c>
      <c r="AR33" s="7">
        <f>AO33*100/AH33-100</f>
        <v>1.2135922330097086</v>
      </c>
      <c r="AS33" s="10" t="s">
        <v>1</v>
      </c>
      <c r="AT33" s="7">
        <f>AQ33*100/AJ33-100</f>
        <v>1.6896648831315122</v>
      </c>
      <c r="AU33" s="7"/>
      <c r="AV33" s="5">
        <f>AV32+AV31</f>
        <v>1361</v>
      </c>
      <c r="AW33" s="10" t="s">
        <v>1</v>
      </c>
      <c r="AX33" s="8">
        <f>AX32+AX31</f>
        <v>55110</v>
      </c>
      <c r="AY33" s="7">
        <f>AV33*100/AO33-100</f>
        <v>-18.4052757793765</v>
      </c>
      <c r="AZ33" s="10" t="s">
        <v>1</v>
      </c>
      <c r="BA33" s="7">
        <f>AX33*100/AQ33-100</f>
        <v>-23.691498199944615</v>
      </c>
      <c r="BB33" s="7"/>
      <c r="BC33" s="5">
        <f>BC32+BC31</f>
        <v>1782</v>
      </c>
      <c r="BD33" s="10" t="s">
        <v>1</v>
      </c>
      <c r="BE33" s="8">
        <f>BE32+BE31</f>
        <v>52150</v>
      </c>
      <c r="BF33" s="7">
        <f>BC33*100/AV33-100</f>
        <v>30.933137398971343</v>
      </c>
      <c r="BG33" s="10" t="s">
        <v>1</v>
      </c>
      <c r="BH33" s="7">
        <f>BE33*100/AX33-100</f>
        <v>-5.371076029758664</v>
      </c>
      <c r="BI33" s="7"/>
      <c r="BJ33" s="5">
        <f>BJ32+BJ31</f>
        <v>1222</v>
      </c>
      <c r="BK33" s="10" t="s">
        <v>1</v>
      </c>
      <c r="BL33" s="8">
        <f>BL32+BL31</f>
        <v>52800</v>
      </c>
      <c r="BM33" s="7">
        <f>BJ33*100/BC33-100</f>
        <v>-31.42536475869809</v>
      </c>
      <c r="BN33" s="10" t="s">
        <v>1</v>
      </c>
      <c r="BO33" s="7">
        <f>BL33*100/BE33-100</f>
        <v>1.2464046021093</v>
      </c>
      <c r="BP33" s="7"/>
      <c r="BQ33" s="5">
        <f>BQ31+BQ32</f>
        <v>1120</v>
      </c>
      <c r="BR33" s="10" t="s">
        <v>1</v>
      </c>
      <c r="BS33" s="8">
        <f>BS31+BS32</f>
        <v>41420</v>
      </c>
      <c r="BT33" s="7">
        <f>BQ33*100/BJ33-100</f>
        <v>-8.346972176759412</v>
      </c>
      <c r="BU33" s="10" t="s">
        <v>1</v>
      </c>
      <c r="BV33" s="7">
        <f>BS33*100/BL33-100</f>
        <v>-21.553030303030305</v>
      </c>
    </row>
    <row r="34" spans="1:74" ht="12">
      <c r="A34" s="1" t="s">
        <v>32</v>
      </c>
      <c r="D34" s="8"/>
      <c r="E34" s="8"/>
      <c r="H34" s="8"/>
      <c r="I34" s="7"/>
      <c r="J34" s="7"/>
      <c r="K34" s="7"/>
      <c r="L34" s="7"/>
      <c r="O34" s="8"/>
      <c r="P34" s="7"/>
      <c r="Q34" s="7"/>
      <c r="R34" s="7"/>
      <c r="S34" s="7"/>
      <c r="V34" s="8"/>
      <c r="W34" s="7"/>
      <c r="X34" s="7"/>
      <c r="Y34" s="7"/>
      <c r="Z34" s="7"/>
      <c r="AC34" s="8"/>
      <c r="AD34" s="7"/>
      <c r="AE34" s="7"/>
      <c r="AF34" s="7"/>
      <c r="AG34" s="7"/>
      <c r="AJ34" s="8"/>
      <c r="AK34" s="7"/>
      <c r="AL34" s="7"/>
      <c r="AM34" s="7"/>
      <c r="AN34" s="7"/>
      <c r="AQ34" s="8"/>
      <c r="AR34" s="7"/>
      <c r="AS34" s="7"/>
      <c r="AT34" s="7"/>
      <c r="AU34" s="7"/>
      <c r="AX34" s="8"/>
      <c r="AY34" s="7"/>
      <c r="AZ34" s="7"/>
      <c r="BA34" s="7"/>
      <c r="BB34" s="7"/>
      <c r="BE34" s="8"/>
      <c r="BF34" s="7"/>
      <c r="BG34" s="7"/>
      <c r="BH34" s="7"/>
      <c r="BI34" s="7"/>
      <c r="BL34" s="8"/>
      <c r="BM34" s="7"/>
      <c r="BN34" s="7"/>
      <c r="BO34" s="7"/>
      <c r="BP34" s="7"/>
      <c r="BS34" s="8"/>
      <c r="BT34" s="7"/>
      <c r="BU34" s="7"/>
      <c r="BV34" s="7"/>
    </row>
    <row r="35" spans="1:74" ht="12">
      <c r="A35" s="1" t="s">
        <v>33</v>
      </c>
      <c r="B35" s="12">
        <v>0.55</v>
      </c>
      <c r="C35" s="7">
        <f>170/B35</f>
        <v>309.09090909090907</v>
      </c>
      <c r="D35" s="8">
        <v>170</v>
      </c>
      <c r="E35" s="8"/>
      <c r="F35" s="6" t="s">
        <v>1</v>
      </c>
      <c r="G35" s="6" t="s">
        <v>1</v>
      </c>
      <c r="H35" s="9" t="s">
        <v>1</v>
      </c>
      <c r="I35" s="6" t="s">
        <v>1</v>
      </c>
      <c r="J35" s="6" t="s">
        <v>1</v>
      </c>
      <c r="K35" s="6" t="s">
        <v>1</v>
      </c>
      <c r="L35" s="6"/>
      <c r="M35" s="6" t="s">
        <v>1</v>
      </c>
      <c r="N35" s="6" t="s">
        <v>1</v>
      </c>
      <c r="O35" s="9" t="s">
        <v>1</v>
      </c>
      <c r="P35" s="6" t="s">
        <v>1</v>
      </c>
      <c r="Q35" s="6" t="s">
        <v>1</v>
      </c>
      <c r="R35" s="6" t="s">
        <v>1</v>
      </c>
      <c r="S35" s="6"/>
      <c r="T35" s="6" t="s">
        <v>1</v>
      </c>
      <c r="U35" s="6" t="s">
        <v>1</v>
      </c>
      <c r="V35" s="9" t="s">
        <v>1</v>
      </c>
      <c r="W35" s="6" t="s">
        <v>1</v>
      </c>
      <c r="X35" s="6" t="s">
        <v>1</v>
      </c>
      <c r="Y35" s="6" t="s">
        <v>1</v>
      </c>
      <c r="Z35" s="6"/>
      <c r="AA35" s="6" t="s">
        <v>1</v>
      </c>
      <c r="AB35" s="6" t="s">
        <v>1</v>
      </c>
      <c r="AC35" s="9" t="s">
        <v>1</v>
      </c>
      <c r="AD35" s="6" t="s">
        <v>1</v>
      </c>
      <c r="AE35" s="6" t="s">
        <v>1</v>
      </c>
      <c r="AF35" s="6" t="s">
        <v>1</v>
      </c>
      <c r="AG35" s="6"/>
      <c r="AH35" s="6" t="s">
        <v>1</v>
      </c>
      <c r="AI35" s="10" t="s">
        <v>1</v>
      </c>
      <c r="AJ35" s="9" t="s">
        <v>1</v>
      </c>
      <c r="AK35" s="6" t="s">
        <v>1</v>
      </c>
      <c r="AL35" s="6" t="s">
        <v>1</v>
      </c>
      <c r="AM35" s="6" t="s">
        <v>1</v>
      </c>
      <c r="AN35" s="6"/>
      <c r="AO35" s="6" t="s">
        <v>1</v>
      </c>
      <c r="AP35" s="6" t="s">
        <v>1</v>
      </c>
      <c r="AQ35" s="9" t="s">
        <v>1</v>
      </c>
      <c r="AR35" s="6" t="s">
        <v>1</v>
      </c>
      <c r="AS35" s="6" t="s">
        <v>1</v>
      </c>
      <c r="AT35" s="6" t="s">
        <v>1</v>
      </c>
      <c r="AU35" s="6"/>
      <c r="AV35" s="6" t="s">
        <v>1</v>
      </c>
      <c r="AW35" s="6" t="s">
        <v>1</v>
      </c>
      <c r="AX35" s="9" t="s">
        <v>1</v>
      </c>
      <c r="AY35" s="6" t="s">
        <v>1</v>
      </c>
      <c r="AZ35" s="6" t="s">
        <v>1</v>
      </c>
      <c r="BA35" s="6" t="s">
        <v>1</v>
      </c>
      <c r="BB35" s="6"/>
      <c r="BC35" s="6" t="s">
        <v>1</v>
      </c>
      <c r="BD35" s="6" t="s">
        <v>1</v>
      </c>
      <c r="BE35" s="9" t="s">
        <v>1</v>
      </c>
      <c r="BF35" s="6" t="s">
        <v>1</v>
      </c>
      <c r="BG35" s="6" t="s">
        <v>1</v>
      </c>
      <c r="BH35" s="6" t="s">
        <v>1</v>
      </c>
      <c r="BI35" s="6"/>
      <c r="BJ35" s="6" t="s">
        <v>1</v>
      </c>
      <c r="BK35" s="6" t="s">
        <v>1</v>
      </c>
      <c r="BL35" s="9" t="s">
        <v>1</v>
      </c>
      <c r="BM35" s="6" t="s">
        <v>1</v>
      </c>
      <c r="BN35" s="6" t="s">
        <v>1</v>
      </c>
      <c r="BO35" s="6" t="s">
        <v>1</v>
      </c>
      <c r="BP35" s="6"/>
      <c r="BQ35" s="5">
        <v>2</v>
      </c>
      <c r="BR35" s="5">
        <v>300</v>
      </c>
      <c r="BS35" s="8">
        <v>550</v>
      </c>
      <c r="BT35" s="7" t="e">
        <f aca="true" t="shared" si="46" ref="BT35:BT47">BQ35*100/BJ35-100</f>
        <v>#VALUE!</v>
      </c>
      <c r="BU35" s="10" t="s">
        <v>1</v>
      </c>
      <c r="BV35" s="7" t="e">
        <f aca="true" t="shared" si="47" ref="BV35:BV47">BS35*100/BL35-100</f>
        <v>#VALUE!</v>
      </c>
    </row>
    <row r="36" spans="1:74" ht="12">
      <c r="A36" s="1" t="s">
        <v>8</v>
      </c>
      <c r="B36" s="5">
        <f>B35+B34</f>
        <v>0.55</v>
      </c>
      <c r="C36" s="6" t="s">
        <v>1</v>
      </c>
      <c r="D36" s="8">
        <f>D35+D34</f>
        <v>170</v>
      </c>
      <c r="E36" s="8"/>
      <c r="F36" s="5">
        <f>F35+F34</f>
        <v>0</v>
      </c>
      <c r="G36" s="6" t="s">
        <v>1</v>
      </c>
      <c r="H36" s="8">
        <f>H35+H34</f>
        <v>0</v>
      </c>
      <c r="I36" s="7">
        <f aca="true" t="shared" si="48" ref="I36:K38">F36*100/B36-100</f>
        <v>-100</v>
      </c>
      <c r="J36" s="7" t="e">
        <f t="shared" si="48"/>
        <v>#VALUE!</v>
      </c>
      <c r="K36" s="7">
        <f t="shared" si="48"/>
        <v>-100</v>
      </c>
      <c r="L36" s="7"/>
      <c r="M36" s="5">
        <f>M34+M35</f>
        <v>0</v>
      </c>
      <c r="N36" s="6" t="s">
        <v>1</v>
      </c>
      <c r="O36" s="8">
        <f>O35+O34</f>
        <v>0</v>
      </c>
      <c r="P36" s="7" t="e">
        <f aca="true" t="shared" si="49" ref="P36:R38">M36*100/F36-100</f>
        <v>#VALUE!</v>
      </c>
      <c r="Q36" s="7" t="e">
        <f t="shared" si="49"/>
        <v>#VALUE!</v>
      </c>
      <c r="R36" s="7" t="e">
        <f t="shared" si="49"/>
        <v>#VALUE!</v>
      </c>
      <c r="S36" s="7"/>
      <c r="T36" s="5">
        <f>T35+T34</f>
        <v>0</v>
      </c>
      <c r="U36" s="6" t="s">
        <v>1</v>
      </c>
      <c r="V36" s="8">
        <f>V35+V34</f>
        <v>0</v>
      </c>
      <c r="W36" s="7" t="e">
        <f aca="true" t="shared" si="50" ref="W36:Y38">T36*100/M36-100</f>
        <v>#VALUE!</v>
      </c>
      <c r="X36" s="7" t="e">
        <f t="shared" si="50"/>
        <v>#VALUE!</v>
      </c>
      <c r="Y36" s="7" t="e">
        <f t="shared" si="50"/>
        <v>#VALUE!</v>
      </c>
      <c r="Z36" s="7"/>
      <c r="AA36" s="5">
        <f>AA35+AA34</f>
        <v>0</v>
      </c>
      <c r="AB36" s="6" t="s">
        <v>1</v>
      </c>
      <c r="AC36" s="8">
        <f>AC35+AC34</f>
        <v>0</v>
      </c>
      <c r="AD36" s="7" t="e">
        <f aca="true" t="shared" si="51" ref="AD36:AF38">AA36*100/T36-100</f>
        <v>#VALUE!</v>
      </c>
      <c r="AE36" s="7" t="e">
        <f t="shared" si="51"/>
        <v>#VALUE!</v>
      </c>
      <c r="AF36" s="7" t="e">
        <f t="shared" si="51"/>
        <v>#VALUE!</v>
      </c>
      <c r="AG36" s="7"/>
      <c r="AH36" s="5">
        <f>AH35+AH34</f>
        <v>0</v>
      </c>
      <c r="AI36" s="10" t="s">
        <v>1</v>
      </c>
      <c r="AJ36" s="8">
        <f>AJ35+AJ34</f>
        <v>0</v>
      </c>
      <c r="AK36" s="7" t="e">
        <f aca="true" t="shared" si="52" ref="AK36:AM38">AH36*100/AA36-100</f>
        <v>#VALUE!</v>
      </c>
      <c r="AL36" s="7" t="e">
        <f t="shared" si="52"/>
        <v>#VALUE!</v>
      </c>
      <c r="AM36" s="7" t="e">
        <f t="shared" si="52"/>
        <v>#VALUE!</v>
      </c>
      <c r="AN36" s="7"/>
      <c r="AO36" s="5">
        <f>AO35+AO34</f>
        <v>0</v>
      </c>
      <c r="AP36" s="10" t="s">
        <v>1</v>
      </c>
      <c r="AQ36" s="8">
        <f>AQ35+AQ34</f>
        <v>0</v>
      </c>
      <c r="AR36" s="7" t="e">
        <f aca="true" t="shared" si="53" ref="AR36:AT38">AO36*100/AH36-100</f>
        <v>#VALUE!</v>
      </c>
      <c r="AS36" s="7" t="e">
        <f t="shared" si="53"/>
        <v>#VALUE!</v>
      </c>
      <c r="AT36" s="7" t="e">
        <f t="shared" si="53"/>
        <v>#VALUE!</v>
      </c>
      <c r="AU36" s="7"/>
      <c r="AV36" s="5">
        <f>AV35+AV34</f>
        <v>0</v>
      </c>
      <c r="AW36" s="10" t="s">
        <v>1</v>
      </c>
      <c r="AX36" s="8">
        <f>AX35+AX34</f>
        <v>0</v>
      </c>
      <c r="AY36" s="7" t="e">
        <f aca="true" t="shared" si="54" ref="AY36:BA38">AV36*100/AO36-100</f>
        <v>#VALUE!</v>
      </c>
      <c r="AZ36" s="7" t="e">
        <f t="shared" si="54"/>
        <v>#VALUE!</v>
      </c>
      <c r="BA36" s="7" t="e">
        <f t="shared" si="54"/>
        <v>#VALUE!</v>
      </c>
      <c r="BB36" s="7"/>
      <c r="BC36" s="5">
        <f>BC35+BC34</f>
        <v>0</v>
      </c>
      <c r="BD36" s="10" t="s">
        <v>1</v>
      </c>
      <c r="BE36" s="8">
        <f>BE35+BE34</f>
        <v>0</v>
      </c>
      <c r="BF36" s="7" t="e">
        <f aca="true" t="shared" si="55" ref="BF36:BH38">BC36*100/AV36-100</f>
        <v>#VALUE!</v>
      </c>
      <c r="BG36" s="7" t="e">
        <f t="shared" si="55"/>
        <v>#VALUE!</v>
      </c>
      <c r="BH36" s="7" t="e">
        <f t="shared" si="55"/>
        <v>#VALUE!</v>
      </c>
      <c r="BI36" s="7"/>
      <c r="BJ36" s="5">
        <f>BJ35+BJ34</f>
        <v>0</v>
      </c>
      <c r="BK36" s="10" t="s">
        <v>1</v>
      </c>
      <c r="BL36" s="8">
        <f>BL35+BL34</f>
        <v>0</v>
      </c>
      <c r="BM36" s="7" t="e">
        <f aca="true" t="shared" si="56" ref="BM36:BO38">BJ36*100/BC36-100</f>
        <v>#VALUE!</v>
      </c>
      <c r="BN36" s="7" t="e">
        <f t="shared" si="56"/>
        <v>#VALUE!</v>
      </c>
      <c r="BO36" s="7" t="e">
        <f t="shared" si="56"/>
        <v>#VALUE!</v>
      </c>
      <c r="BP36" s="7"/>
      <c r="BQ36" s="5">
        <f>BQ34+BQ35</f>
        <v>2</v>
      </c>
      <c r="BR36" s="10" t="s">
        <v>1</v>
      </c>
      <c r="BS36" s="8">
        <f>BS34+BS35</f>
        <v>550</v>
      </c>
      <c r="BT36" s="7" t="e">
        <f t="shared" si="46"/>
        <v>#VALUE!</v>
      </c>
      <c r="BU36" s="7" t="e">
        <f>BR36*100/BK36-100</f>
        <v>#VALUE!</v>
      </c>
      <c r="BV36" s="7" t="e">
        <f t="shared" si="47"/>
        <v>#VALUE!</v>
      </c>
    </row>
    <row r="37" spans="1:74" ht="12">
      <c r="A37" s="1" t="s">
        <v>34</v>
      </c>
      <c r="B37" s="13">
        <v>191</v>
      </c>
      <c r="C37" s="7">
        <v>376.1</v>
      </c>
      <c r="D37" s="8">
        <v>71800</v>
      </c>
      <c r="E37" s="8"/>
      <c r="F37" s="5">
        <v>193</v>
      </c>
      <c r="G37" s="7">
        <v>339</v>
      </c>
      <c r="H37" s="8">
        <v>65400</v>
      </c>
      <c r="I37" s="7">
        <f t="shared" si="48"/>
        <v>1.0471204188481675</v>
      </c>
      <c r="J37" s="7">
        <f t="shared" si="48"/>
        <v>-9.864397766551454</v>
      </c>
      <c r="K37" s="7">
        <f t="shared" si="48"/>
        <v>-8.913649025069638</v>
      </c>
      <c r="L37" s="7"/>
      <c r="M37" s="5">
        <v>204</v>
      </c>
      <c r="N37" s="7">
        <v>374.7</v>
      </c>
      <c r="O37" s="8">
        <v>76400</v>
      </c>
      <c r="P37" s="7">
        <f t="shared" si="49"/>
        <v>5.699481865284974</v>
      </c>
      <c r="Q37" s="7">
        <f t="shared" si="49"/>
        <v>10.53097345132743</v>
      </c>
      <c r="R37" s="7">
        <f t="shared" si="49"/>
        <v>16.819571865443425</v>
      </c>
      <c r="S37" s="7"/>
      <c r="T37" s="5">
        <v>214</v>
      </c>
      <c r="U37" s="7">
        <v>399.2</v>
      </c>
      <c r="V37" s="8">
        <v>84900</v>
      </c>
      <c r="W37" s="7">
        <f t="shared" si="50"/>
        <v>4.901960784313726</v>
      </c>
      <c r="X37" s="7">
        <f t="shared" si="50"/>
        <v>6.5385641846810785</v>
      </c>
      <c r="Y37" s="7">
        <f t="shared" si="50"/>
        <v>11.12565445026178</v>
      </c>
      <c r="Z37" s="7"/>
      <c r="AA37" s="5">
        <v>228</v>
      </c>
      <c r="AB37" s="7">
        <v>396.5</v>
      </c>
      <c r="AC37" s="8">
        <v>90400</v>
      </c>
      <c r="AD37" s="7">
        <f t="shared" si="51"/>
        <v>6.542056074766355</v>
      </c>
      <c r="AE37" s="7">
        <f t="shared" si="51"/>
        <v>-0.6763527054108188</v>
      </c>
      <c r="AF37" s="7">
        <f t="shared" si="51"/>
        <v>6.478209658421672</v>
      </c>
      <c r="AG37" s="7"/>
      <c r="AH37" s="5">
        <v>221</v>
      </c>
      <c r="AI37" s="7">
        <v>383.7</v>
      </c>
      <c r="AJ37" s="8">
        <v>83900</v>
      </c>
      <c r="AK37" s="7">
        <f t="shared" si="52"/>
        <v>-3.0701754385964914</v>
      </c>
      <c r="AL37" s="7">
        <f t="shared" si="52"/>
        <v>-3.228247162673395</v>
      </c>
      <c r="AM37" s="7">
        <f t="shared" si="52"/>
        <v>-7.1902654867256635</v>
      </c>
      <c r="AN37" s="7"/>
      <c r="AO37" s="5">
        <v>277</v>
      </c>
      <c r="AP37" s="7">
        <v>464.3</v>
      </c>
      <c r="AQ37" s="8">
        <v>128600</v>
      </c>
      <c r="AR37" s="7">
        <f t="shared" si="53"/>
        <v>25.339366515837103</v>
      </c>
      <c r="AS37" s="7">
        <f t="shared" si="53"/>
        <v>21.00599426635393</v>
      </c>
      <c r="AT37" s="7">
        <f t="shared" si="53"/>
        <v>53.277711561382596</v>
      </c>
      <c r="AU37" s="7"/>
      <c r="AV37" s="5">
        <v>232</v>
      </c>
      <c r="AW37" s="7">
        <v>371.5</v>
      </c>
      <c r="AX37" s="8">
        <v>86200</v>
      </c>
      <c r="AY37" s="7">
        <f t="shared" si="54"/>
        <v>-16.24548736462094</v>
      </c>
      <c r="AZ37" s="7">
        <f t="shared" si="54"/>
        <v>-19.987077320697825</v>
      </c>
      <c r="BA37" s="7">
        <f t="shared" si="54"/>
        <v>-32.97045101088647</v>
      </c>
      <c r="BB37" s="7"/>
      <c r="BC37" s="5">
        <v>243</v>
      </c>
      <c r="BD37" s="7">
        <v>386.3</v>
      </c>
      <c r="BE37" s="8">
        <v>93900</v>
      </c>
      <c r="BF37" s="7">
        <f t="shared" si="55"/>
        <v>4.741379310344827</v>
      </c>
      <c r="BG37" s="7">
        <f t="shared" si="55"/>
        <v>3.983849259757742</v>
      </c>
      <c r="BH37" s="7">
        <f t="shared" si="55"/>
        <v>8.932714617169374</v>
      </c>
      <c r="BI37" s="7"/>
      <c r="BJ37" s="5">
        <v>249</v>
      </c>
      <c r="BK37" s="7">
        <v>393.6</v>
      </c>
      <c r="BL37" s="8">
        <v>96200</v>
      </c>
      <c r="BM37" s="7">
        <f t="shared" si="56"/>
        <v>2.4691358024691357</v>
      </c>
      <c r="BN37" s="7">
        <f t="shared" si="56"/>
        <v>1.8897230132021774</v>
      </c>
      <c r="BO37" s="7">
        <f t="shared" si="56"/>
        <v>2.4494142705005326</v>
      </c>
      <c r="BP37" s="7"/>
      <c r="BQ37" s="5">
        <v>260</v>
      </c>
      <c r="BR37" s="7">
        <v>381.5</v>
      </c>
      <c r="BS37" s="8">
        <v>97300</v>
      </c>
      <c r="BT37" s="7">
        <f t="shared" si="46"/>
        <v>4.417670682730924</v>
      </c>
      <c r="BU37" s="7">
        <f>BR37*100/BK37-100</f>
        <v>-3.0741869918699245</v>
      </c>
      <c r="BV37" s="7">
        <f t="shared" si="47"/>
        <v>1.1434511434511434</v>
      </c>
    </row>
    <row r="38" spans="1:74" ht="12">
      <c r="A38" s="1" t="s">
        <v>35</v>
      </c>
      <c r="B38" s="12">
        <v>4.7</v>
      </c>
      <c r="C38" s="7">
        <f>1790/B38</f>
        <v>380.8510638297872</v>
      </c>
      <c r="D38" s="8">
        <v>1550</v>
      </c>
      <c r="E38" s="8"/>
      <c r="F38" s="12">
        <v>4.8</v>
      </c>
      <c r="G38" s="7">
        <f>2090/F38</f>
        <v>435.4166666666667</v>
      </c>
      <c r="H38" s="8">
        <v>1930</v>
      </c>
      <c r="I38" s="7">
        <f t="shared" si="48"/>
        <v>2.1276595744680775</v>
      </c>
      <c r="J38" s="7">
        <f t="shared" si="48"/>
        <v>14.32728119180634</v>
      </c>
      <c r="K38" s="7">
        <f t="shared" si="48"/>
        <v>24.516129032258064</v>
      </c>
      <c r="L38" s="7"/>
      <c r="M38" s="12">
        <v>6.9</v>
      </c>
      <c r="N38" s="7">
        <f>2900/M38</f>
        <v>420.28985507246375</v>
      </c>
      <c r="O38" s="8">
        <v>2660</v>
      </c>
      <c r="P38" s="7">
        <f t="shared" si="49"/>
        <v>43.750000000000014</v>
      </c>
      <c r="Q38" s="7">
        <f t="shared" si="49"/>
        <v>-3.474100270438951</v>
      </c>
      <c r="R38" s="7">
        <f t="shared" si="49"/>
        <v>37.82383419689119</v>
      </c>
      <c r="S38" s="7"/>
      <c r="T38" s="12">
        <v>8</v>
      </c>
      <c r="U38" s="7">
        <f>2980/T38</f>
        <v>372.5</v>
      </c>
      <c r="V38" s="8">
        <v>2710</v>
      </c>
      <c r="W38" s="7">
        <f t="shared" si="50"/>
        <v>15.94202898550724</v>
      </c>
      <c r="X38" s="7">
        <f t="shared" si="50"/>
        <v>-11.370689655172411</v>
      </c>
      <c r="Y38" s="7">
        <f t="shared" si="50"/>
        <v>1.8796992481203008</v>
      </c>
      <c r="Z38" s="7"/>
      <c r="AA38" s="12">
        <v>10</v>
      </c>
      <c r="AB38" s="7">
        <v>379</v>
      </c>
      <c r="AC38" s="8">
        <v>3260</v>
      </c>
      <c r="AD38" s="7">
        <f t="shared" si="51"/>
        <v>25</v>
      </c>
      <c r="AE38" s="7">
        <f t="shared" si="51"/>
        <v>1.74496644295302</v>
      </c>
      <c r="AF38" s="7">
        <f t="shared" si="51"/>
        <v>20.29520295202952</v>
      </c>
      <c r="AG38" s="7"/>
      <c r="AH38" s="5">
        <v>1600</v>
      </c>
      <c r="AI38" s="7">
        <v>395</v>
      </c>
      <c r="AJ38" s="8">
        <v>5720</v>
      </c>
      <c r="AK38" s="7">
        <f t="shared" si="52"/>
        <v>15900</v>
      </c>
      <c r="AL38" s="7">
        <f t="shared" si="52"/>
        <v>4.221635883905013</v>
      </c>
      <c r="AM38" s="7">
        <f t="shared" si="52"/>
        <v>75.4601226993865</v>
      </c>
      <c r="AN38" s="7"/>
      <c r="AO38" s="5">
        <v>1700</v>
      </c>
      <c r="AP38" s="7">
        <v>395.3</v>
      </c>
      <c r="AQ38" s="8">
        <v>6080</v>
      </c>
      <c r="AR38" s="7">
        <f t="shared" si="53"/>
        <v>6.25</v>
      </c>
      <c r="AS38" s="7">
        <f t="shared" si="53"/>
        <v>0.07594936708861047</v>
      </c>
      <c r="AT38" s="7">
        <f t="shared" si="53"/>
        <v>6.293706293706293</v>
      </c>
      <c r="AU38" s="7"/>
      <c r="AV38" s="5">
        <v>1854</v>
      </c>
      <c r="AW38" s="7">
        <v>393.2</v>
      </c>
      <c r="AX38" s="8">
        <v>6600</v>
      </c>
      <c r="AY38" s="7">
        <f t="shared" si="54"/>
        <v>9.058823529411764</v>
      </c>
      <c r="AZ38" s="7">
        <f t="shared" si="54"/>
        <v>-0.531242094611693</v>
      </c>
      <c r="BA38" s="7">
        <f t="shared" si="54"/>
        <v>8.552631578947368</v>
      </c>
      <c r="BB38" s="7"/>
      <c r="BC38" s="5">
        <v>1860</v>
      </c>
      <c r="BD38" s="7">
        <v>393.5</v>
      </c>
      <c r="BE38" s="8">
        <v>7020</v>
      </c>
      <c r="BF38" s="7">
        <f t="shared" si="55"/>
        <v>0.32362459546925565</v>
      </c>
      <c r="BG38" s="7">
        <f t="shared" si="55"/>
        <v>0.0762970498474088</v>
      </c>
      <c r="BH38" s="7">
        <f t="shared" si="55"/>
        <v>6.363636363636363</v>
      </c>
      <c r="BI38" s="7"/>
      <c r="BJ38" s="12">
        <v>18.48</v>
      </c>
      <c r="BK38" s="7">
        <v>388.9</v>
      </c>
      <c r="BL38" s="8">
        <v>7187</v>
      </c>
      <c r="BM38" s="7">
        <f t="shared" si="56"/>
        <v>-99.00645161290322</v>
      </c>
      <c r="BN38" s="7">
        <f t="shared" si="56"/>
        <v>-1.1689961880559143</v>
      </c>
      <c r="BO38" s="7">
        <f t="shared" si="56"/>
        <v>2.3789173789173788</v>
      </c>
      <c r="BP38" s="7"/>
      <c r="BQ38" s="12">
        <v>22.22</v>
      </c>
      <c r="BR38" s="7">
        <v>469.1</v>
      </c>
      <c r="BS38" s="8">
        <v>10374</v>
      </c>
      <c r="BT38" s="7">
        <f t="shared" si="46"/>
        <v>20.23809523809523</v>
      </c>
      <c r="BU38" s="7">
        <f>BR38*100/BK38-100</f>
        <v>20.622267935201865</v>
      </c>
      <c r="BV38" s="7">
        <f t="shared" si="47"/>
        <v>44.343954362042574</v>
      </c>
    </row>
    <row r="39" spans="1:74" ht="12">
      <c r="A39" s="1" t="s">
        <v>8</v>
      </c>
      <c r="B39" s="5">
        <f>B38+B37</f>
        <v>195.7</v>
      </c>
      <c r="C39" s="10" t="s">
        <v>1</v>
      </c>
      <c r="D39" s="8">
        <f>D38+D37</f>
        <v>73350</v>
      </c>
      <c r="E39" s="8"/>
      <c r="F39" s="5">
        <f>F38+F37</f>
        <v>197.8</v>
      </c>
      <c r="G39" s="10" t="s">
        <v>1</v>
      </c>
      <c r="H39" s="8">
        <f>H38+H37</f>
        <v>67330</v>
      </c>
      <c r="I39" s="7">
        <f aca="true" t="shared" si="57" ref="I39:I60">F39*100/B39-100</f>
        <v>1.0730710270822805</v>
      </c>
      <c r="J39" s="10" t="s">
        <v>1</v>
      </c>
      <c r="K39" s="7">
        <f aca="true" t="shared" si="58" ref="K39:K60">H39*100/D39-100</f>
        <v>-8.207225630538513</v>
      </c>
      <c r="L39" s="7"/>
      <c r="M39" s="5">
        <f>M38+M37</f>
        <v>210.9</v>
      </c>
      <c r="N39" s="6" t="s">
        <v>1</v>
      </c>
      <c r="O39" s="8">
        <f>O38+O37</f>
        <v>79060</v>
      </c>
      <c r="P39" s="7">
        <f aca="true" t="shared" si="59" ref="P39:P60">M39*100/F39-100</f>
        <v>6.622851365015164</v>
      </c>
      <c r="Q39" s="10" t="s">
        <v>1</v>
      </c>
      <c r="R39" s="7">
        <f aca="true" t="shared" si="60" ref="R39:R60">O39*100/H39-100</f>
        <v>17.421654537353334</v>
      </c>
      <c r="S39" s="7"/>
      <c r="T39" s="5">
        <f>T38+T37</f>
        <v>222</v>
      </c>
      <c r="U39" s="6" t="s">
        <v>1</v>
      </c>
      <c r="V39" s="8">
        <f>V38+V37</f>
        <v>87610</v>
      </c>
      <c r="W39" s="7">
        <f aca="true" t="shared" si="61" ref="W39:W53">T39*100/M39-100</f>
        <v>5.263157894736839</v>
      </c>
      <c r="X39" s="10" t="s">
        <v>1</v>
      </c>
      <c r="Y39" s="7">
        <f aca="true" t="shared" si="62" ref="Y39:Y53">V39*100/O39-100</f>
        <v>10.81457121173792</v>
      </c>
      <c r="Z39" s="7"/>
      <c r="AA39" s="5">
        <f>AA38+AA37</f>
        <v>238</v>
      </c>
      <c r="AB39" s="6" t="s">
        <v>1</v>
      </c>
      <c r="AC39" s="8">
        <f>AC38+AC37</f>
        <v>93660</v>
      </c>
      <c r="AD39" s="7">
        <f aca="true" t="shared" si="63" ref="AD39:AD60">AA39*100/T39-100</f>
        <v>7.207207207207207</v>
      </c>
      <c r="AE39" s="10" t="s">
        <v>1</v>
      </c>
      <c r="AF39" s="7">
        <f aca="true" t="shared" si="64" ref="AF39:AF60">AC39*100/V39-100</f>
        <v>6.905604383061294</v>
      </c>
      <c r="AG39" s="7"/>
      <c r="AH39" s="5">
        <f>AH38+AH37</f>
        <v>1821</v>
      </c>
      <c r="AI39" s="10" t="s">
        <v>1</v>
      </c>
      <c r="AJ39" s="8">
        <f>AJ38+AJ37</f>
        <v>89620</v>
      </c>
      <c r="AK39" s="7">
        <f aca="true" t="shared" si="65" ref="AK39:AK60">AH39*100/AA39-100</f>
        <v>665.1260504201681</v>
      </c>
      <c r="AL39" s="10" t="s">
        <v>1</v>
      </c>
      <c r="AM39" s="7">
        <f aca="true" t="shared" si="66" ref="AM39:AM60">AJ39*100/AC39-100</f>
        <v>-4.31347426863122</v>
      </c>
      <c r="AN39" s="7"/>
      <c r="AO39" s="5">
        <f>AO38+AO37</f>
        <v>1977</v>
      </c>
      <c r="AP39" s="10" t="s">
        <v>1</v>
      </c>
      <c r="AQ39" s="8">
        <f>AQ38+AQ37</f>
        <v>134680</v>
      </c>
      <c r="AR39" s="7">
        <f aca="true" t="shared" si="67" ref="AR39:AR53">AO39*100/AH39-100</f>
        <v>8.566721581548599</v>
      </c>
      <c r="AS39" s="10" t="s">
        <v>1</v>
      </c>
      <c r="AT39" s="7">
        <f aca="true" t="shared" si="68" ref="AT39:AT53">AQ39*100/AJ39-100</f>
        <v>50.27895559027003</v>
      </c>
      <c r="AU39" s="7"/>
      <c r="AV39" s="5">
        <f>AV38+AV37</f>
        <v>2086</v>
      </c>
      <c r="AW39" s="10" t="s">
        <v>1</v>
      </c>
      <c r="AX39" s="8">
        <f>AX38+AX37</f>
        <v>92800</v>
      </c>
      <c r="AY39" s="7">
        <f aca="true" t="shared" si="69" ref="AY39:AY60">AV39*100/AO39-100</f>
        <v>5.513404147698533</v>
      </c>
      <c r="AZ39" s="10" t="s">
        <v>1</v>
      </c>
      <c r="BA39" s="7">
        <f aca="true" t="shared" si="70" ref="BA39:BA60">AX39*100/AQ39-100</f>
        <v>-31.095931095931096</v>
      </c>
      <c r="BB39" s="7"/>
      <c r="BC39" s="5">
        <f>BC38+BC37</f>
        <v>2103</v>
      </c>
      <c r="BD39" s="10" t="s">
        <v>1</v>
      </c>
      <c r="BE39" s="8">
        <f>BE38+BE37</f>
        <v>100920</v>
      </c>
      <c r="BF39" s="7">
        <f aca="true" t="shared" si="71" ref="BF39:BF60">BC39*100/AV39-100</f>
        <v>0.8149568552253116</v>
      </c>
      <c r="BG39" s="10" t="s">
        <v>1</v>
      </c>
      <c r="BH39" s="7">
        <f aca="true" t="shared" si="72" ref="BH39:BH60">BE39*100/AX39-100</f>
        <v>8.75</v>
      </c>
      <c r="BI39" s="7"/>
      <c r="BJ39" s="5">
        <f>BJ38+BJ37</f>
        <v>267.48</v>
      </c>
      <c r="BK39" s="10" t="s">
        <v>1</v>
      </c>
      <c r="BL39" s="8">
        <f>BL38+BL37</f>
        <v>103387</v>
      </c>
      <c r="BM39" s="7">
        <f aca="true" t="shared" si="73" ref="BM39:BM60">BJ39*100/BC39-100</f>
        <v>-87.28102710413695</v>
      </c>
      <c r="BN39" s="10" t="s">
        <v>1</v>
      </c>
      <c r="BO39" s="7">
        <f aca="true" t="shared" si="74" ref="BO39:BO60">BL39*100/BE39-100</f>
        <v>2.4445105033690053</v>
      </c>
      <c r="BP39" s="7"/>
      <c r="BQ39" s="5">
        <f>BQ38+BQ37</f>
        <v>282.22</v>
      </c>
      <c r="BR39" s="10" t="s">
        <v>1</v>
      </c>
      <c r="BS39" s="8">
        <f>BS38+BS37</f>
        <v>107674</v>
      </c>
      <c r="BT39" s="7">
        <f t="shared" si="46"/>
        <v>5.510692388215944</v>
      </c>
      <c r="BU39" s="10" t="s">
        <v>1</v>
      </c>
      <c r="BV39" s="7">
        <f t="shared" si="47"/>
        <v>4.146556143422287</v>
      </c>
    </row>
    <row r="40" spans="1:74" ht="12">
      <c r="A40" s="1" t="s">
        <v>36</v>
      </c>
      <c r="B40" s="5">
        <v>90</v>
      </c>
      <c r="C40" s="7">
        <v>67.7</v>
      </c>
      <c r="D40" s="8">
        <v>6100</v>
      </c>
      <c r="E40" s="8"/>
      <c r="F40" s="5">
        <v>90</v>
      </c>
      <c r="G40" s="7">
        <v>68.9</v>
      </c>
      <c r="H40" s="8">
        <v>6200</v>
      </c>
      <c r="I40" s="7">
        <f t="shared" si="57"/>
        <v>0</v>
      </c>
      <c r="J40" s="7">
        <f>G40*100/C40-100</f>
        <v>1.7725258493353069</v>
      </c>
      <c r="K40" s="7">
        <f t="shared" si="58"/>
        <v>1.639344262295082</v>
      </c>
      <c r="L40" s="7"/>
      <c r="M40" s="5">
        <v>95</v>
      </c>
      <c r="N40" s="7">
        <v>69.4</v>
      </c>
      <c r="O40" s="8">
        <v>6600</v>
      </c>
      <c r="P40" s="7">
        <f t="shared" si="59"/>
        <v>5.555555555555555</v>
      </c>
      <c r="Q40" s="7">
        <f>N40*100/G40-100</f>
        <v>0.7256894049346879</v>
      </c>
      <c r="R40" s="7">
        <f t="shared" si="60"/>
        <v>6.451612903225806</v>
      </c>
      <c r="S40" s="7"/>
      <c r="T40" s="5">
        <v>97</v>
      </c>
      <c r="U40" s="7">
        <v>69.7</v>
      </c>
      <c r="V40" s="8">
        <v>6800</v>
      </c>
      <c r="W40" s="7">
        <f t="shared" si="61"/>
        <v>2.1052631578947367</v>
      </c>
      <c r="X40" s="7">
        <f>U40*100/N40-100</f>
        <v>0.4322766570605146</v>
      </c>
      <c r="Y40" s="7">
        <f t="shared" si="62"/>
        <v>3.0303030303030303</v>
      </c>
      <c r="Z40" s="7"/>
      <c r="AA40" s="5">
        <v>100</v>
      </c>
      <c r="AB40" s="7">
        <v>65</v>
      </c>
      <c r="AC40" s="8">
        <v>6500</v>
      </c>
      <c r="AD40" s="7">
        <f t="shared" si="63"/>
        <v>3.0927835051546393</v>
      </c>
      <c r="AE40" s="7">
        <f>AB40*100/U40-100</f>
        <v>-6.743185078909616</v>
      </c>
      <c r="AF40" s="7">
        <f t="shared" si="64"/>
        <v>-4.411764705882353</v>
      </c>
      <c r="AG40" s="7"/>
      <c r="AH40" s="5">
        <v>140</v>
      </c>
      <c r="AI40" s="7">
        <v>71.4</v>
      </c>
      <c r="AJ40" s="8">
        <v>10000</v>
      </c>
      <c r="AK40" s="7">
        <f t="shared" si="65"/>
        <v>40</v>
      </c>
      <c r="AL40" s="7">
        <f>AI40*100/AB40-100</f>
        <v>9.846153846153856</v>
      </c>
      <c r="AM40" s="7">
        <f t="shared" si="66"/>
        <v>53.84615384615385</v>
      </c>
      <c r="AN40" s="7"/>
      <c r="AO40" s="5">
        <v>130</v>
      </c>
      <c r="AP40" s="7">
        <v>36</v>
      </c>
      <c r="AQ40" s="8">
        <v>4700</v>
      </c>
      <c r="AR40" s="7">
        <f t="shared" si="67"/>
        <v>-7.142857142857143</v>
      </c>
      <c r="AS40" s="7">
        <f>AP40*100/AI40-100</f>
        <v>-49.57983193277311</v>
      </c>
      <c r="AT40" s="7">
        <f t="shared" si="68"/>
        <v>-53</v>
      </c>
      <c r="AU40" s="7"/>
      <c r="AV40" s="5">
        <v>110</v>
      </c>
      <c r="AW40" s="7">
        <v>38.4</v>
      </c>
      <c r="AX40" s="8">
        <v>4200</v>
      </c>
      <c r="AY40" s="7">
        <f t="shared" si="69"/>
        <v>-15.384615384615385</v>
      </c>
      <c r="AZ40" s="7">
        <f>AW40*100/AP40-100</f>
        <v>6.6666666666666625</v>
      </c>
      <c r="BA40" s="7">
        <f t="shared" si="70"/>
        <v>-10.638297872340425</v>
      </c>
      <c r="BB40" s="7"/>
      <c r="BC40" s="5">
        <v>120</v>
      </c>
      <c r="BD40" s="7">
        <v>32.5</v>
      </c>
      <c r="BE40" s="8">
        <v>3900</v>
      </c>
      <c r="BF40" s="7">
        <f t="shared" si="71"/>
        <v>9.090909090909092</v>
      </c>
      <c r="BG40" s="7">
        <f>BD40*100/AW40-100</f>
        <v>-15.36458333333333</v>
      </c>
      <c r="BH40" s="7">
        <f t="shared" si="72"/>
        <v>-7.142857142857143</v>
      </c>
      <c r="BI40" s="7"/>
      <c r="BJ40" s="5">
        <v>130</v>
      </c>
      <c r="BK40" s="7">
        <f>BL40/BJ40</f>
        <v>35.38461538461539</v>
      </c>
      <c r="BL40" s="8">
        <v>4600</v>
      </c>
      <c r="BM40" s="7">
        <f t="shared" si="73"/>
        <v>8.333333333333334</v>
      </c>
      <c r="BN40" s="7">
        <f>BK40*100/BD40-100</f>
        <v>8.875739644970421</v>
      </c>
      <c r="BO40" s="7">
        <f t="shared" si="74"/>
        <v>17.94871794871795</v>
      </c>
      <c r="BP40" s="7"/>
      <c r="BQ40" s="5">
        <v>120</v>
      </c>
      <c r="BR40" s="7">
        <f>BS40/BQ40</f>
        <v>35</v>
      </c>
      <c r="BS40" s="8">
        <v>4200</v>
      </c>
      <c r="BT40" s="7">
        <f t="shared" si="46"/>
        <v>-7.6923076923076925</v>
      </c>
      <c r="BU40" s="7">
        <f>BR40*100/BK40-100</f>
        <v>-1.0869565217391366</v>
      </c>
      <c r="BV40" s="7">
        <f t="shared" si="47"/>
        <v>-8.695652173913043</v>
      </c>
    </row>
    <row r="41" spans="1:74" ht="12">
      <c r="A41" s="1" t="s">
        <v>37</v>
      </c>
      <c r="B41" s="5">
        <v>65</v>
      </c>
      <c r="C41" s="7">
        <v>229.2</v>
      </c>
      <c r="D41" s="8">
        <v>15000</v>
      </c>
      <c r="E41" s="8"/>
      <c r="F41" s="5">
        <v>65</v>
      </c>
      <c r="G41" s="7">
        <v>230.8</v>
      </c>
      <c r="H41" s="8">
        <v>15000</v>
      </c>
      <c r="I41" s="7">
        <f t="shared" si="57"/>
        <v>0</v>
      </c>
      <c r="J41" s="7">
        <f>G41*100/C41-100</f>
        <v>0.6980802792321217</v>
      </c>
      <c r="K41" s="7">
        <f t="shared" si="58"/>
        <v>0</v>
      </c>
      <c r="L41" s="7"/>
      <c r="M41" s="5">
        <v>65</v>
      </c>
      <c r="N41" s="7">
        <v>238.5</v>
      </c>
      <c r="O41" s="8">
        <v>15500</v>
      </c>
      <c r="P41" s="7">
        <f t="shared" si="59"/>
        <v>0</v>
      </c>
      <c r="Q41" s="7">
        <f>N41*100/G41-100</f>
        <v>3.336221837088383</v>
      </c>
      <c r="R41" s="7">
        <f t="shared" si="60"/>
        <v>3.3333333333333335</v>
      </c>
      <c r="S41" s="7"/>
      <c r="T41" s="5">
        <v>65</v>
      </c>
      <c r="U41" s="7">
        <v>244.6</v>
      </c>
      <c r="V41" s="8">
        <v>15700</v>
      </c>
      <c r="W41" s="7">
        <f t="shared" si="61"/>
        <v>0</v>
      </c>
      <c r="X41" s="7">
        <f>U41*100/N41-100</f>
        <v>2.5576519916142533</v>
      </c>
      <c r="Y41" s="7">
        <f t="shared" si="62"/>
        <v>1.2903225806451613</v>
      </c>
      <c r="Z41" s="7"/>
      <c r="AA41" s="5">
        <v>76</v>
      </c>
      <c r="AB41" s="7">
        <v>250</v>
      </c>
      <c r="AC41" s="8">
        <v>19000</v>
      </c>
      <c r="AD41" s="7">
        <f t="shared" si="63"/>
        <v>16.923076923076923</v>
      </c>
      <c r="AE41" s="7">
        <f>AB41*100/U41-100</f>
        <v>2.207686017988555</v>
      </c>
      <c r="AF41" s="7">
        <f t="shared" si="64"/>
        <v>21.019108280254777</v>
      </c>
      <c r="AG41" s="7"/>
      <c r="AH41" s="7">
        <v>84</v>
      </c>
      <c r="AI41" s="7">
        <v>238.1</v>
      </c>
      <c r="AJ41" s="8">
        <v>20000</v>
      </c>
      <c r="AK41" s="7">
        <f t="shared" si="65"/>
        <v>10.526315789473685</v>
      </c>
      <c r="AL41" s="7">
        <f>AI41*100/AB41-100</f>
        <v>-4.7600000000000025</v>
      </c>
      <c r="AM41" s="7">
        <f t="shared" si="66"/>
        <v>5.2631578947368425</v>
      </c>
      <c r="AN41" s="7"/>
      <c r="AO41" s="5">
        <v>90</v>
      </c>
      <c r="AP41" s="7">
        <v>280</v>
      </c>
      <c r="AQ41" s="8">
        <v>25200</v>
      </c>
      <c r="AR41" s="7">
        <f t="shared" si="67"/>
        <v>7.142857142857143</v>
      </c>
      <c r="AS41" s="7">
        <f>AP41*100/AI41-100</f>
        <v>17.597648047039062</v>
      </c>
      <c r="AT41" s="7">
        <f t="shared" si="68"/>
        <v>26</v>
      </c>
      <c r="AU41" s="7"/>
      <c r="AV41" s="5">
        <v>110</v>
      </c>
      <c r="AW41" s="7">
        <v>281.8</v>
      </c>
      <c r="AX41" s="8">
        <v>31000</v>
      </c>
      <c r="AY41" s="7">
        <f t="shared" si="69"/>
        <v>22.22222222222222</v>
      </c>
      <c r="AZ41" s="7">
        <f>AW41*100/AP41-100</f>
        <v>0.6428571428571469</v>
      </c>
      <c r="BA41" s="7">
        <f t="shared" si="70"/>
        <v>23.015873015873016</v>
      </c>
      <c r="BB41" s="7"/>
      <c r="BC41" s="5">
        <v>100</v>
      </c>
      <c r="BD41" s="7">
        <v>276</v>
      </c>
      <c r="BE41" s="8">
        <v>27600</v>
      </c>
      <c r="BF41" s="7">
        <f t="shared" si="71"/>
        <v>-9.090909090909092</v>
      </c>
      <c r="BG41" s="7">
        <f>BD41*100/AW41-100</f>
        <v>-2.0581973030518137</v>
      </c>
      <c r="BH41" s="7">
        <f t="shared" si="72"/>
        <v>-10.96774193548387</v>
      </c>
      <c r="BI41" s="7"/>
      <c r="BJ41" s="5">
        <v>100</v>
      </c>
      <c r="BK41" s="7">
        <f>BL41/BJ41</f>
        <v>280</v>
      </c>
      <c r="BL41" s="8">
        <v>28000</v>
      </c>
      <c r="BM41" s="7">
        <f t="shared" si="73"/>
        <v>0</v>
      </c>
      <c r="BN41" s="7">
        <f>BK41*100/BD41-100</f>
        <v>1.4492753623188406</v>
      </c>
      <c r="BO41" s="7">
        <f t="shared" si="74"/>
        <v>1.4492753623188406</v>
      </c>
      <c r="BP41" s="7"/>
      <c r="BQ41" s="5">
        <v>75</v>
      </c>
      <c r="BR41" s="7">
        <f>BS41/BQ41</f>
        <v>280</v>
      </c>
      <c r="BS41" s="8">
        <v>21000</v>
      </c>
      <c r="BT41" s="7">
        <f t="shared" si="46"/>
        <v>-25</v>
      </c>
      <c r="BU41" s="7">
        <f>BR41*100/BK41-100</f>
        <v>0</v>
      </c>
      <c r="BV41" s="7">
        <f t="shared" si="47"/>
        <v>-25</v>
      </c>
    </row>
    <row r="42" spans="1:74" ht="12">
      <c r="A42" s="1" t="s">
        <v>38</v>
      </c>
      <c r="B42" s="5">
        <v>204</v>
      </c>
      <c r="C42" s="7">
        <v>315.8</v>
      </c>
      <c r="D42" s="8">
        <v>64200</v>
      </c>
      <c r="E42" s="8"/>
      <c r="F42" s="5">
        <v>206</v>
      </c>
      <c r="G42" s="7">
        <v>324.7</v>
      </c>
      <c r="H42" s="8">
        <v>66600</v>
      </c>
      <c r="I42" s="7">
        <f t="shared" si="57"/>
        <v>0.9803921568627451</v>
      </c>
      <c r="J42" s="7">
        <f>G42*100/C42-100</f>
        <v>2.8182393920202586</v>
      </c>
      <c r="K42" s="7">
        <f t="shared" si="58"/>
        <v>3.7383177570093458</v>
      </c>
      <c r="L42" s="7"/>
      <c r="M42" s="5">
        <v>190</v>
      </c>
      <c r="N42" s="7">
        <v>323.5</v>
      </c>
      <c r="O42" s="8">
        <v>61200</v>
      </c>
      <c r="P42" s="7">
        <f t="shared" si="59"/>
        <v>-7.766990291262136</v>
      </c>
      <c r="Q42" s="7">
        <f>N42*100/G42-100</f>
        <v>-0.3695719125346439</v>
      </c>
      <c r="R42" s="7">
        <f t="shared" si="60"/>
        <v>-8.108108108108109</v>
      </c>
      <c r="S42" s="7"/>
      <c r="T42" s="5">
        <v>171</v>
      </c>
      <c r="U42" s="7">
        <v>329.6</v>
      </c>
      <c r="V42" s="8">
        <v>56100</v>
      </c>
      <c r="W42" s="7">
        <f t="shared" si="61"/>
        <v>-10</v>
      </c>
      <c r="X42" s="7">
        <f>U42*100/N42-100</f>
        <v>1.885625965996916</v>
      </c>
      <c r="Y42" s="7">
        <f t="shared" si="62"/>
        <v>-8.333333333333334</v>
      </c>
      <c r="Z42" s="7"/>
      <c r="AA42" s="5">
        <v>148</v>
      </c>
      <c r="AB42" s="7">
        <v>325.7</v>
      </c>
      <c r="AC42" s="8">
        <v>48200</v>
      </c>
      <c r="AD42" s="7">
        <f t="shared" si="63"/>
        <v>-13.450292397660819</v>
      </c>
      <c r="AE42" s="7">
        <f>AB42*100/U42-100</f>
        <v>-1.1832524271844762</v>
      </c>
      <c r="AF42" s="7">
        <f t="shared" si="64"/>
        <v>-14.081996434937611</v>
      </c>
      <c r="AG42" s="7"/>
      <c r="AH42" s="5">
        <v>143</v>
      </c>
      <c r="AI42" s="7">
        <v>329.4</v>
      </c>
      <c r="AJ42" s="8">
        <v>46400</v>
      </c>
      <c r="AK42" s="7">
        <f t="shared" si="65"/>
        <v>-3.3783783783783785</v>
      </c>
      <c r="AL42" s="7">
        <f>AI42*100/AB42-100</f>
        <v>1.1360147374884828</v>
      </c>
      <c r="AM42" s="7">
        <f t="shared" si="66"/>
        <v>-3.7344398340248963</v>
      </c>
      <c r="AN42" s="7"/>
      <c r="AO42" s="5">
        <v>135</v>
      </c>
      <c r="AP42" s="7">
        <v>360</v>
      </c>
      <c r="AQ42" s="8">
        <v>48600</v>
      </c>
      <c r="AR42" s="7">
        <f t="shared" si="67"/>
        <v>-5.594405594405594</v>
      </c>
      <c r="AS42" s="7">
        <f>AP42*100/AI42-100</f>
        <v>9.289617486338805</v>
      </c>
      <c r="AT42" s="7">
        <f t="shared" si="68"/>
        <v>4.741379310344827</v>
      </c>
      <c r="AU42" s="7"/>
      <c r="AV42" s="5">
        <v>140</v>
      </c>
      <c r="AW42" s="7">
        <v>342.8</v>
      </c>
      <c r="AX42" s="8">
        <v>48000</v>
      </c>
      <c r="AY42" s="7">
        <f t="shared" si="69"/>
        <v>3.7037037037037037</v>
      </c>
      <c r="AZ42" s="7">
        <f>AW42*100/AP42-100</f>
        <v>-4.777777777777775</v>
      </c>
      <c r="BA42" s="7">
        <f t="shared" si="70"/>
        <v>-1.2345679012345678</v>
      </c>
      <c r="BB42" s="7"/>
      <c r="BC42" s="5">
        <v>136</v>
      </c>
      <c r="BD42" s="7">
        <v>353.7</v>
      </c>
      <c r="BE42" s="8">
        <v>47700</v>
      </c>
      <c r="BF42" s="7">
        <f t="shared" si="71"/>
        <v>-2.857142857142857</v>
      </c>
      <c r="BG42" s="7">
        <f>BD42*100/AW42-100</f>
        <v>3.179696616102677</v>
      </c>
      <c r="BH42" s="7">
        <f t="shared" si="72"/>
        <v>-0.625</v>
      </c>
      <c r="BI42" s="7"/>
      <c r="BJ42" s="5">
        <v>143</v>
      </c>
      <c r="BK42" s="7">
        <v>380.4</v>
      </c>
      <c r="BL42" s="8">
        <v>50600</v>
      </c>
      <c r="BM42" s="7">
        <f t="shared" si="73"/>
        <v>5.147058823529412</v>
      </c>
      <c r="BN42" s="7">
        <f>BK42*100/BD42-100</f>
        <v>7.548770144189988</v>
      </c>
      <c r="BO42" s="7">
        <f t="shared" si="74"/>
        <v>6.079664570230608</v>
      </c>
      <c r="BP42" s="7"/>
      <c r="BQ42" s="5">
        <v>132</v>
      </c>
      <c r="BR42" s="7">
        <v>365.5</v>
      </c>
      <c r="BS42" s="8">
        <v>47800</v>
      </c>
      <c r="BT42" s="7">
        <f t="shared" si="46"/>
        <v>-7.6923076923076925</v>
      </c>
      <c r="BU42" s="7">
        <f>BR42*100/BK42-100</f>
        <v>-3.9169295478443686</v>
      </c>
      <c r="BV42" s="7">
        <f t="shared" si="47"/>
        <v>-5.533596837944664</v>
      </c>
    </row>
    <row r="43" spans="1:74" ht="12">
      <c r="A43" s="1" t="s">
        <v>39</v>
      </c>
      <c r="B43" s="12">
        <v>3</v>
      </c>
      <c r="C43" s="7">
        <f>1400/B43</f>
        <v>466.6666666666667</v>
      </c>
      <c r="D43" s="8">
        <v>1300</v>
      </c>
      <c r="E43" s="8"/>
      <c r="F43" s="12">
        <v>3</v>
      </c>
      <c r="G43" s="7">
        <f>1380/F43</f>
        <v>460</v>
      </c>
      <c r="H43" s="8">
        <v>1260</v>
      </c>
      <c r="I43" s="7">
        <f t="shared" si="57"/>
        <v>0</v>
      </c>
      <c r="J43" s="7">
        <f>G43*100/C43-100</f>
        <v>-1.4285714285714326</v>
      </c>
      <c r="K43" s="7">
        <f t="shared" si="58"/>
        <v>-3.076923076923077</v>
      </c>
      <c r="L43" s="7"/>
      <c r="M43" s="12">
        <v>2.2</v>
      </c>
      <c r="N43" s="5">
        <f>1210/M43</f>
        <v>550</v>
      </c>
      <c r="O43" s="8">
        <v>1100</v>
      </c>
      <c r="P43" s="7">
        <f t="shared" si="59"/>
        <v>-26.66666666666666</v>
      </c>
      <c r="Q43" s="7">
        <f>N43*100/G43-100</f>
        <v>19.565217391304348</v>
      </c>
      <c r="R43" s="7">
        <f t="shared" si="60"/>
        <v>-12.698412698412698</v>
      </c>
      <c r="S43" s="7"/>
      <c r="T43" s="12">
        <v>2.3</v>
      </c>
      <c r="U43" s="7">
        <f>1270/T43</f>
        <v>552.1739130434783</v>
      </c>
      <c r="V43" s="8">
        <v>1140</v>
      </c>
      <c r="W43" s="7">
        <f t="shared" si="61"/>
        <v>4.545454545454529</v>
      </c>
      <c r="X43" s="7">
        <f>U43*100/N43-100</f>
        <v>0.39525691699604565</v>
      </c>
      <c r="Y43" s="7">
        <f t="shared" si="62"/>
        <v>3.6363636363636362</v>
      </c>
      <c r="Z43" s="7"/>
      <c r="AA43" s="7">
        <v>2.5</v>
      </c>
      <c r="AB43" s="7">
        <v>500</v>
      </c>
      <c r="AC43" s="8">
        <v>1060</v>
      </c>
      <c r="AD43" s="7">
        <f t="shared" si="63"/>
        <v>8.695652173913052</v>
      </c>
      <c r="AE43" s="7">
        <f>AB43*100/U43-100</f>
        <v>-9.448818897637794</v>
      </c>
      <c r="AF43" s="7">
        <f t="shared" si="64"/>
        <v>-7.017543859649122</v>
      </c>
      <c r="AG43" s="7"/>
      <c r="AH43" s="5">
        <v>400</v>
      </c>
      <c r="AI43" s="7">
        <v>500</v>
      </c>
      <c r="AJ43" s="8">
        <v>1700</v>
      </c>
      <c r="AK43" s="7">
        <f t="shared" si="65"/>
        <v>15900</v>
      </c>
      <c r="AL43" s="7">
        <f>AI43*100/AB43-100</f>
        <v>0</v>
      </c>
      <c r="AM43" s="7">
        <f t="shared" si="66"/>
        <v>60.37735849056604</v>
      </c>
      <c r="AN43" s="7"/>
      <c r="AO43" s="5">
        <v>500</v>
      </c>
      <c r="AP43" s="7">
        <v>500</v>
      </c>
      <c r="AQ43" s="8">
        <v>2250</v>
      </c>
      <c r="AR43" s="7">
        <f t="shared" si="67"/>
        <v>25</v>
      </c>
      <c r="AS43" s="7">
        <f>AP43*100/AI43-100</f>
        <v>0</v>
      </c>
      <c r="AT43" s="7">
        <f t="shared" si="68"/>
        <v>32.35294117647059</v>
      </c>
      <c r="AU43" s="7"/>
      <c r="AV43" s="5">
        <v>500</v>
      </c>
      <c r="AW43" s="7">
        <v>500</v>
      </c>
      <c r="AX43" s="8">
        <v>2250</v>
      </c>
      <c r="AY43" s="7">
        <f t="shared" si="69"/>
        <v>0</v>
      </c>
      <c r="AZ43" s="7">
        <f>AW43*100/AP43-100</f>
        <v>0</v>
      </c>
      <c r="BA43" s="7">
        <f t="shared" si="70"/>
        <v>0</v>
      </c>
      <c r="BB43" s="7"/>
      <c r="BC43" s="5">
        <v>500</v>
      </c>
      <c r="BD43" s="7">
        <v>500</v>
      </c>
      <c r="BE43" s="8">
        <v>2300</v>
      </c>
      <c r="BF43" s="7">
        <f t="shared" si="71"/>
        <v>0</v>
      </c>
      <c r="BG43" s="7">
        <f>BD43*100/AW43-100</f>
        <v>0</v>
      </c>
      <c r="BH43" s="7">
        <f t="shared" si="72"/>
        <v>2.2222222222222223</v>
      </c>
      <c r="BI43" s="7"/>
      <c r="BJ43" s="5">
        <v>3</v>
      </c>
      <c r="BK43" s="7">
        <v>550</v>
      </c>
      <c r="BL43" s="8">
        <v>1650</v>
      </c>
      <c r="BM43" s="7">
        <f t="shared" si="73"/>
        <v>-99.4</v>
      </c>
      <c r="BN43" s="7">
        <f>BK43*100/BD43-100</f>
        <v>10</v>
      </c>
      <c r="BO43" s="7">
        <f t="shared" si="74"/>
        <v>-28.26086956521739</v>
      </c>
      <c r="BP43" s="7"/>
      <c r="BQ43" s="5">
        <v>8</v>
      </c>
      <c r="BR43" s="7">
        <v>400</v>
      </c>
      <c r="BS43" s="8">
        <v>2500</v>
      </c>
      <c r="BT43" s="7">
        <f t="shared" si="46"/>
        <v>166.66666666666666</v>
      </c>
      <c r="BU43" s="7">
        <f>BR43*100/BK43-100</f>
        <v>-27.272727272727273</v>
      </c>
      <c r="BV43" s="7">
        <f t="shared" si="47"/>
        <v>51.515151515151516</v>
      </c>
    </row>
    <row r="44" spans="1:74" ht="12">
      <c r="A44" s="1" t="s">
        <v>8</v>
      </c>
      <c r="B44" s="5">
        <f>B43+B42</f>
        <v>207</v>
      </c>
      <c r="C44" s="10" t="s">
        <v>1</v>
      </c>
      <c r="D44" s="8">
        <f>D43+D42</f>
        <v>65500</v>
      </c>
      <c r="E44" s="8"/>
      <c r="F44" s="5">
        <f>F43+F42</f>
        <v>209</v>
      </c>
      <c r="G44" s="10" t="s">
        <v>1</v>
      </c>
      <c r="H44" s="8">
        <f>H43+H42</f>
        <v>67860</v>
      </c>
      <c r="I44" s="7">
        <f t="shared" si="57"/>
        <v>0.966183574879227</v>
      </c>
      <c r="J44" s="10" t="s">
        <v>1</v>
      </c>
      <c r="K44" s="7">
        <f t="shared" si="58"/>
        <v>3.6030534351145036</v>
      </c>
      <c r="L44" s="7"/>
      <c r="M44" s="5">
        <f>M43+M42</f>
        <v>192.2</v>
      </c>
      <c r="N44" s="6" t="s">
        <v>1</v>
      </c>
      <c r="O44" s="8">
        <f>O43+O42</f>
        <v>62300</v>
      </c>
      <c r="P44" s="7">
        <f t="shared" si="59"/>
        <v>-8.038277511961727</v>
      </c>
      <c r="Q44" s="10" t="s">
        <v>1</v>
      </c>
      <c r="R44" s="7">
        <f t="shared" si="60"/>
        <v>-8.193339227821987</v>
      </c>
      <c r="S44" s="7"/>
      <c r="T44" s="5">
        <f>T43+T42</f>
        <v>173.3</v>
      </c>
      <c r="U44" s="6" t="s">
        <v>1</v>
      </c>
      <c r="V44" s="8">
        <f>V43+V42</f>
        <v>57240</v>
      </c>
      <c r="W44" s="7">
        <f t="shared" si="61"/>
        <v>-9.83350676378771</v>
      </c>
      <c r="X44" s="10" t="s">
        <v>1</v>
      </c>
      <c r="Y44" s="7">
        <f t="shared" si="62"/>
        <v>-8.12199036918138</v>
      </c>
      <c r="Z44" s="7"/>
      <c r="AA44" s="5">
        <f>AA43+AA42</f>
        <v>150.5</v>
      </c>
      <c r="AB44" s="6" t="s">
        <v>1</v>
      </c>
      <c r="AC44" s="8">
        <f>AC43+AC42</f>
        <v>49260</v>
      </c>
      <c r="AD44" s="7">
        <f t="shared" si="63"/>
        <v>-13.15637622619735</v>
      </c>
      <c r="AE44" s="10" t="s">
        <v>1</v>
      </c>
      <c r="AF44" s="7">
        <f t="shared" si="64"/>
        <v>-13.941299790356394</v>
      </c>
      <c r="AG44" s="7"/>
      <c r="AH44" s="5">
        <f>AH43+AH42</f>
        <v>543</v>
      </c>
      <c r="AI44" s="10" t="s">
        <v>1</v>
      </c>
      <c r="AJ44" s="8">
        <f>AJ43+AJ42</f>
        <v>48100</v>
      </c>
      <c r="AK44" s="7">
        <f t="shared" si="65"/>
        <v>260.797342192691</v>
      </c>
      <c r="AL44" s="10" t="s">
        <v>1</v>
      </c>
      <c r="AM44" s="7">
        <f t="shared" si="66"/>
        <v>-2.3548518067397484</v>
      </c>
      <c r="AN44" s="7"/>
      <c r="AO44" s="5">
        <f>AO43+AO42</f>
        <v>635</v>
      </c>
      <c r="AP44" s="10" t="s">
        <v>1</v>
      </c>
      <c r="AQ44" s="8">
        <f>AQ43+AQ42</f>
        <v>50850</v>
      </c>
      <c r="AR44" s="7">
        <f t="shared" si="67"/>
        <v>16.94290976058932</v>
      </c>
      <c r="AS44" s="10" t="s">
        <v>1</v>
      </c>
      <c r="AT44" s="7">
        <f t="shared" si="68"/>
        <v>5.717255717255718</v>
      </c>
      <c r="AU44" s="7"/>
      <c r="AV44" s="5">
        <f>AV43+AV42</f>
        <v>640</v>
      </c>
      <c r="AW44" s="10" t="s">
        <v>1</v>
      </c>
      <c r="AX44" s="8">
        <f>AX43+AX42</f>
        <v>50250</v>
      </c>
      <c r="AY44" s="7">
        <f t="shared" si="69"/>
        <v>0.7874015748031497</v>
      </c>
      <c r="AZ44" s="10" t="s">
        <v>1</v>
      </c>
      <c r="BA44" s="7">
        <f t="shared" si="70"/>
        <v>-1.1799410029498525</v>
      </c>
      <c r="BB44" s="7"/>
      <c r="BC44" s="5">
        <f>BC43+BC42</f>
        <v>636</v>
      </c>
      <c r="BD44" s="10" t="s">
        <v>1</v>
      </c>
      <c r="BE44" s="8">
        <f>BE43+BE42</f>
        <v>50000</v>
      </c>
      <c r="BF44" s="7">
        <f t="shared" si="71"/>
        <v>-0.625</v>
      </c>
      <c r="BG44" s="10" t="s">
        <v>1</v>
      </c>
      <c r="BH44" s="7">
        <f t="shared" si="72"/>
        <v>-0.4975124378109453</v>
      </c>
      <c r="BI44" s="7"/>
      <c r="BJ44" s="5">
        <f>BJ43+BJ42</f>
        <v>146</v>
      </c>
      <c r="BK44" s="10" t="s">
        <v>1</v>
      </c>
      <c r="BL44" s="8">
        <f>BL43+BL42</f>
        <v>52250</v>
      </c>
      <c r="BM44" s="7">
        <f t="shared" si="73"/>
        <v>-77.04402515723271</v>
      </c>
      <c r="BN44" s="10" t="s">
        <v>1</v>
      </c>
      <c r="BO44" s="7">
        <f t="shared" si="74"/>
        <v>4.5</v>
      </c>
      <c r="BP44" s="7"/>
      <c r="BQ44" s="5">
        <f>BQ43+BQ42</f>
        <v>140</v>
      </c>
      <c r="BR44" s="10" t="s">
        <v>1</v>
      </c>
      <c r="BS44" s="8">
        <f>BS43+BS42</f>
        <v>50300</v>
      </c>
      <c r="BT44" s="7">
        <f t="shared" si="46"/>
        <v>-4.109589041095891</v>
      </c>
      <c r="BU44" s="10" t="s">
        <v>1</v>
      </c>
      <c r="BV44" s="7">
        <f t="shared" si="47"/>
        <v>-3.7320574162679425</v>
      </c>
    </row>
    <row r="45" spans="1:74" ht="12">
      <c r="A45" s="1" t="s">
        <v>40</v>
      </c>
      <c r="B45" s="5">
        <v>128</v>
      </c>
      <c r="C45" s="7">
        <v>293.3</v>
      </c>
      <c r="D45" s="8">
        <v>36400</v>
      </c>
      <c r="E45" s="8"/>
      <c r="F45" s="5">
        <v>129</v>
      </c>
      <c r="G45" s="7">
        <v>307.9</v>
      </c>
      <c r="H45" s="8">
        <v>38700</v>
      </c>
      <c r="I45" s="7">
        <f t="shared" si="57"/>
        <v>0.78125</v>
      </c>
      <c r="J45" s="7">
        <f aca="true" t="shared" si="75" ref="J45:J50">G45*100/C45-100</f>
        <v>4.977838390726207</v>
      </c>
      <c r="K45" s="7">
        <f t="shared" si="58"/>
        <v>6.318681318681318</v>
      </c>
      <c r="L45" s="7"/>
      <c r="M45" s="5">
        <v>100</v>
      </c>
      <c r="N45" s="7">
        <f>30800/100</f>
        <v>308</v>
      </c>
      <c r="O45" s="8">
        <v>30200</v>
      </c>
      <c r="P45" s="7">
        <f t="shared" si="59"/>
        <v>-22.48062015503876</v>
      </c>
      <c r="Q45" s="7">
        <f aca="true" t="shared" si="76" ref="Q45:Q50">N45*100/G45-100</f>
        <v>0.03247807729783136</v>
      </c>
      <c r="R45" s="7">
        <f t="shared" si="60"/>
        <v>-21.963824289405686</v>
      </c>
      <c r="S45" s="7"/>
      <c r="T45" s="5">
        <v>122</v>
      </c>
      <c r="U45" s="7">
        <v>314.5</v>
      </c>
      <c r="V45" s="8">
        <v>36100</v>
      </c>
      <c r="W45" s="7">
        <f t="shared" si="61"/>
        <v>22</v>
      </c>
      <c r="X45" s="7">
        <f aca="true" t="shared" si="77" ref="X45:X50">U45*100/N45-100</f>
        <v>2.1103896103896105</v>
      </c>
      <c r="Y45" s="7">
        <f t="shared" si="62"/>
        <v>19.5364238410596</v>
      </c>
      <c r="Z45" s="7"/>
      <c r="AA45" s="5">
        <v>105</v>
      </c>
      <c r="AB45" s="7">
        <v>327.6</v>
      </c>
      <c r="AC45" s="8">
        <v>34100</v>
      </c>
      <c r="AD45" s="7">
        <f t="shared" si="63"/>
        <v>-13.934426229508198</v>
      </c>
      <c r="AE45" s="7">
        <f aca="true" t="shared" si="78" ref="AE45:AE50">AB45*100/U45-100</f>
        <v>4.165341812400643</v>
      </c>
      <c r="AF45" s="7">
        <f t="shared" si="64"/>
        <v>-5.54016620498615</v>
      </c>
      <c r="AG45" s="7"/>
      <c r="AH45" s="5">
        <v>98</v>
      </c>
      <c r="AI45" s="7">
        <v>317.6</v>
      </c>
      <c r="AJ45" s="8">
        <v>30200</v>
      </c>
      <c r="AK45" s="7">
        <f t="shared" si="65"/>
        <v>-6.666666666666667</v>
      </c>
      <c r="AL45" s="7">
        <f aca="true" t="shared" si="79" ref="AL45:AL50">AI45*100/AB45-100</f>
        <v>-3.0525030525030523</v>
      </c>
      <c r="AM45" s="7">
        <f t="shared" si="66"/>
        <v>-11.436950146627566</v>
      </c>
      <c r="AN45" s="7"/>
      <c r="AO45" s="5">
        <v>105</v>
      </c>
      <c r="AP45" s="7">
        <v>314.3</v>
      </c>
      <c r="AQ45" s="8">
        <v>32200</v>
      </c>
      <c r="AR45" s="7">
        <f t="shared" si="67"/>
        <v>7.142857142857143</v>
      </c>
      <c r="AS45" s="7">
        <f aca="true" t="shared" si="80" ref="AS45:AS50">AP45*100/AI45-100</f>
        <v>-1.0390428211586937</v>
      </c>
      <c r="AT45" s="7">
        <f t="shared" si="68"/>
        <v>6.622516556291391</v>
      </c>
      <c r="AU45" s="7"/>
      <c r="AV45" s="5">
        <v>118</v>
      </c>
      <c r="AW45" s="7">
        <v>324.6</v>
      </c>
      <c r="AX45" s="8">
        <v>37700</v>
      </c>
      <c r="AY45" s="7">
        <f t="shared" si="69"/>
        <v>12.380952380952381</v>
      </c>
      <c r="AZ45" s="7">
        <f aca="true" t="shared" si="81" ref="AZ45:AZ50">AW45*100/AP45-100</f>
        <v>3.2771237671014988</v>
      </c>
      <c r="BA45" s="7">
        <f t="shared" si="70"/>
        <v>17.080745341614907</v>
      </c>
      <c r="BB45" s="7"/>
      <c r="BC45" s="5">
        <v>120</v>
      </c>
      <c r="BD45" s="7">
        <v>302.5</v>
      </c>
      <c r="BE45" s="8">
        <v>36000</v>
      </c>
      <c r="BF45" s="7">
        <f t="shared" si="71"/>
        <v>1.694915254237288</v>
      </c>
      <c r="BG45" s="7">
        <f aca="true" t="shared" si="82" ref="BG45:BG50">BD45*100/AW45-100</f>
        <v>-6.808379544054227</v>
      </c>
      <c r="BH45" s="7">
        <f t="shared" si="72"/>
        <v>-4.5092838196286475</v>
      </c>
      <c r="BI45" s="7"/>
      <c r="BJ45" s="5">
        <v>112</v>
      </c>
      <c r="BK45" s="7">
        <v>308.9</v>
      </c>
      <c r="BL45" s="8">
        <v>34600</v>
      </c>
      <c r="BM45" s="7">
        <f t="shared" si="73"/>
        <v>-6.666666666666667</v>
      </c>
      <c r="BN45" s="7">
        <f aca="true" t="shared" si="83" ref="BN45:BN50">BK45*100/BD45-100</f>
        <v>2.1157024793388355</v>
      </c>
      <c r="BO45" s="7">
        <f t="shared" si="74"/>
        <v>-3.888888888888889</v>
      </c>
      <c r="BP45" s="7"/>
      <c r="BQ45" s="5">
        <v>110</v>
      </c>
      <c r="BR45" s="7">
        <v>308.7</v>
      </c>
      <c r="BS45" s="8">
        <v>34000</v>
      </c>
      <c r="BT45" s="7">
        <f t="shared" si="46"/>
        <v>-1.7857142857142858</v>
      </c>
      <c r="BU45" s="7">
        <f>BR45*100/BK45-100</f>
        <v>-0.0647458724506276</v>
      </c>
      <c r="BV45" s="7">
        <f t="shared" si="47"/>
        <v>-1.7341040462427746</v>
      </c>
    </row>
    <row r="46" spans="1:74" ht="12">
      <c r="A46" s="1" t="s">
        <v>41</v>
      </c>
      <c r="B46" s="5">
        <v>176</v>
      </c>
      <c r="C46" s="7">
        <v>303.2</v>
      </c>
      <c r="D46" s="8">
        <v>51800</v>
      </c>
      <c r="E46" s="8"/>
      <c r="F46" s="5">
        <v>188</v>
      </c>
      <c r="G46" s="7">
        <v>322.3</v>
      </c>
      <c r="H46" s="8">
        <v>58800</v>
      </c>
      <c r="I46" s="7">
        <f t="shared" si="57"/>
        <v>6.818181818181818</v>
      </c>
      <c r="J46" s="7">
        <f t="shared" si="75"/>
        <v>6.299472295514519</v>
      </c>
      <c r="K46" s="7">
        <f t="shared" si="58"/>
        <v>13.513513513513514</v>
      </c>
      <c r="L46" s="7"/>
      <c r="M46" s="5">
        <v>184</v>
      </c>
      <c r="N46" s="7">
        <v>320.4</v>
      </c>
      <c r="O46" s="8">
        <v>57300</v>
      </c>
      <c r="P46" s="7">
        <f t="shared" si="59"/>
        <v>-2.127659574468085</v>
      </c>
      <c r="Q46" s="7">
        <f t="shared" si="76"/>
        <v>-0.5895128762023065</v>
      </c>
      <c r="R46" s="7">
        <f t="shared" si="60"/>
        <v>-2.5510204081632653</v>
      </c>
      <c r="S46" s="7"/>
      <c r="T46" s="5">
        <v>191</v>
      </c>
      <c r="U46" s="7">
        <v>318.1</v>
      </c>
      <c r="V46" s="8">
        <v>56200</v>
      </c>
      <c r="W46" s="7">
        <f t="shared" si="61"/>
        <v>3.8043478260869565</v>
      </c>
      <c r="X46" s="7">
        <f t="shared" si="77"/>
        <v>-0.7178526841448049</v>
      </c>
      <c r="Y46" s="7">
        <f t="shared" si="62"/>
        <v>-1.9197207678883073</v>
      </c>
      <c r="Z46" s="7"/>
      <c r="AA46" s="5">
        <v>182</v>
      </c>
      <c r="AB46" s="7">
        <v>324.6</v>
      </c>
      <c r="AC46" s="8">
        <v>59100</v>
      </c>
      <c r="AD46" s="7">
        <f t="shared" si="63"/>
        <v>-4.712041884816754</v>
      </c>
      <c r="AE46" s="7">
        <f t="shared" si="78"/>
        <v>2.0433825840930524</v>
      </c>
      <c r="AF46" s="7">
        <f t="shared" si="64"/>
        <v>5.160142348754448</v>
      </c>
      <c r="AG46" s="7"/>
      <c r="AH46" s="5">
        <v>174</v>
      </c>
      <c r="AI46" s="7">
        <v>313.2</v>
      </c>
      <c r="AJ46" s="8">
        <v>50800</v>
      </c>
      <c r="AK46" s="7">
        <f t="shared" si="65"/>
        <v>-4.395604395604396</v>
      </c>
      <c r="AL46" s="7">
        <f t="shared" si="79"/>
        <v>-3.512014787430694</v>
      </c>
      <c r="AM46" s="7">
        <f t="shared" si="66"/>
        <v>-14.043993231810491</v>
      </c>
      <c r="AN46" s="7"/>
      <c r="AO46" s="5">
        <v>182</v>
      </c>
      <c r="AP46" s="7">
        <v>319.2</v>
      </c>
      <c r="AQ46" s="8">
        <v>54600</v>
      </c>
      <c r="AR46" s="7">
        <f t="shared" si="67"/>
        <v>4.597701149425287</v>
      </c>
      <c r="AS46" s="7">
        <f t="shared" si="80"/>
        <v>1.9157088122605366</v>
      </c>
      <c r="AT46" s="7">
        <f t="shared" si="68"/>
        <v>7.480314960629921</v>
      </c>
      <c r="AU46" s="7"/>
      <c r="AV46" s="5">
        <v>191</v>
      </c>
      <c r="AW46" s="7">
        <v>316.8</v>
      </c>
      <c r="AX46" s="8">
        <v>60000</v>
      </c>
      <c r="AY46" s="7">
        <f t="shared" si="69"/>
        <v>4.945054945054945</v>
      </c>
      <c r="AZ46" s="7">
        <f t="shared" si="81"/>
        <v>-0.7518796992481132</v>
      </c>
      <c r="BA46" s="7">
        <f t="shared" si="70"/>
        <v>9.89010989010989</v>
      </c>
      <c r="BB46" s="7"/>
      <c r="BC46" s="5">
        <v>182</v>
      </c>
      <c r="BD46" s="7">
        <v>307.5</v>
      </c>
      <c r="BE46" s="8">
        <v>55300</v>
      </c>
      <c r="BF46" s="7">
        <f t="shared" si="71"/>
        <v>-4.712041884816754</v>
      </c>
      <c r="BG46" s="7">
        <f t="shared" si="82"/>
        <v>-2.935606060606064</v>
      </c>
      <c r="BH46" s="7">
        <f t="shared" si="72"/>
        <v>-7.833333333333333</v>
      </c>
      <c r="BI46" s="7"/>
      <c r="BJ46" s="5">
        <v>180</v>
      </c>
      <c r="BK46" s="7">
        <v>309.8</v>
      </c>
      <c r="BL46" s="8">
        <v>53100</v>
      </c>
      <c r="BM46" s="7">
        <f t="shared" si="73"/>
        <v>-1.098901098901099</v>
      </c>
      <c r="BN46" s="7">
        <f t="shared" si="83"/>
        <v>0.7479674796748005</v>
      </c>
      <c r="BO46" s="7">
        <f t="shared" si="74"/>
        <v>-3.9783001808318263</v>
      </c>
      <c r="BP46" s="7"/>
      <c r="BQ46" s="5">
        <v>155</v>
      </c>
      <c r="BR46" s="7">
        <f>BS46/BQ46</f>
        <v>281.2903225806452</v>
      </c>
      <c r="BS46" s="8">
        <v>43600</v>
      </c>
      <c r="BT46" s="7">
        <f t="shared" si="46"/>
        <v>-13.88888888888889</v>
      </c>
      <c r="BU46" s="7">
        <f>BR46*100/BK46-100</f>
        <v>-9.202607301276576</v>
      </c>
      <c r="BV46" s="7">
        <f t="shared" si="47"/>
        <v>-17.890772128060263</v>
      </c>
    </row>
    <row r="47" spans="1:74" ht="12">
      <c r="A47" s="1" t="s">
        <v>42</v>
      </c>
      <c r="B47" s="5">
        <v>193</v>
      </c>
      <c r="C47" s="7">
        <v>260.4</v>
      </c>
      <c r="D47" s="8">
        <v>48700</v>
      </c>
      <c r="E47" s="8"/>
      <c r="F47" s="5">
        <v>223</v>
      </c>
      <c r="G47" s="7">
        <v>255</v>
      </c>
      <c r="H47" s="8">
        <v>54800</v>
      </c>
      <c r="I47" s="7">
        <f t="shared" si="57"/>
        <v>15.544041450777202</v>
      </c>
      <c r="J47" s="7">
        <f t="shared" si="75"/>
        <v>-2.0737327188940005</v>
      </c>
      <c r="K47" s="7">
        <f t="shared" si="58"/>
        <v>12.525667351129364</v>
      </c>
      <c r="L47" s="7"/>
      <c r="M47" s="5">
        <v>260</v>
      </c>
      <c r="N47" s="7">
        <v>258.3</v>
      </c>
      <c r="O47" s="8">
        <v>63600</v>
      </c>
      <c r="P47" s="7">
        <f t="shared" si="59"/>
        <v>16.591928251121075</v>
      </c>
      <c r="Q47" s="7">
        <f t="shared" si="76"/>
        <v>1.294117647058828</v>
      </c>
      <c r="R47" s="7">
        <f t="shared" si="60"/>
        <v>16.05839416058394</v>
      </c>
      <c r="S47" s="7"/>
      <c r="T47" s="5">
        <v>366</v>
      </c>
      <c r="U47" s="7">
        <v>261.3</v>
      </c>
      <c r="V47" s="8">
        <v>83700</v>
      </c>
      <c r="W47" s="7">
        <f t="shared" si="61"/>
        <v>40.76923076923077</v>
      </c>
      <c r="X47" s="7">
        <f t="shared" si="77"/>
        <v>1.1614401858304297</v>
      </c>
      <c r="Y47" s="7">
        <f t="shared" si="62"/>
        <v>31.60377358490566</v>
      </c>
      <c r="Z47" s="7"/>
      <c r="AA47" s="5">
        <v>259</v>
      </c>
      <c r="AB47" s="7">
        <v>263</v>
      </c>
      <c r="AC47" s="8">
        <v>67900</v>
      </c>
      <c r="AD47" s="7">
        <f t="shared" si="63"/>
        <v>-29.23497267759563</v>
      </c>
      <c r="AE47" s="7">
        <f t="shared" si="78"/>
        <v>0.6505931879066164</v>
      </c>
      <c r="AF47" s="7">
        <f t="shared" si="64"/>
        <v>-18.876941457586618</v>
      </c>
      <c r="AG47" s="7"/>
      <c r="AH47" s="5">
        <v>284</v>
      </c>
      <c r="AI47" s="7">
        <v>258.1</v>
      </c>
      <c r="AJ47" s="8">
        <v>56800</v>
      </c>
      <c r="AK47" s="7">
        <f t="shared" si="65"/>
        <v>9.652509652509652</v>
      </c>
      <c r="AL47" s="7">
        <f t="shared" si="79"/>
        <v>-1.8631178707224247</v>
      </c>
      <c r="AM47" s="7">
        <f t="shared" si="66"/>
        <v>-16.347569955817377</v>
      </c>
      <c r="AN47" s="7"/>
      <c r="AO47" s="5">
        <v>250</v>
      </c>
      <c r="AP47" s="7">
        <v>261.6</v>
      </c>
      <c r="AQ47" s="8">
        <v>59100</v>
      </c>
      <c r="AR47" s="7">
        <f t="shared" si="67"/>
        <v>-11.971830985915492</v>
      </c>
      <c r="AS47" s="7">
        <f t="shared" si="80"/>
        <v>1.3560635412630762</v>
      </c>
      <c r="AT47" s="7">
        <f t="shared" si="68"/>
        <v>4.049295774647887</v>
      </c>
      <c r="AU47" s="7"/>
      <c r="AV47" s="5">
        <v>255</v>
      </c>
      <c r="AW47" s="7">
        <v>262</v>
      </c>
      <c r="AX47" s="8">
        <v>65600</v>
      </c>
      <c r="AY47" s="7">
        <f t="shared" si="69"/>
        <v>2</v>
      </c>
      <c r="AZ47" s="7">
        <f t="shared" si="81"/>
        <v>0.1529051987767497</v>
      </c>
      <c r="BA47" s="7">
        <f t="shared" si="70"/>
        <v>10.998307952622673</v>
      </c>
      <c r="BB47" s="7"/>
      <c r="BC47" s="5">
        <v>223</v>
      </c>
      <c r="BD47" s="7">
        <v>253</v>
      </c>
      <c r="BE47" s="8">
        <v>56200</v>
      </c>
      <c r="BF47" s="7">
        <f t="shared" si="71"/>
        <v>-12.549019607843137</v>
      </c>
      <c r="BG47" s="7">
        <f t="shared" si="82"/>
        <v>-3.435114503816794</v>
      </c>
      <c r="BH47" s="7">
        <f t="shared" si="72"/>
        <v>-14.329268292682928</v>
      </c>
      <c r="BI47" s="7"/>
      <c r="BJ47" s="5">
        <v>226</v>
      </c>
      <c r="BK47" s="7">
        <v>255.3</v>
      </c>
      <c r="BL47" s="8">
        <v>56900</v>
      </c>
      <c r="BM47" s="7">
        <f t="shared" si="73"/>
        <v>1.345291479820628</v>
      </c>
      <c r="BN47" s="7">
        <f t="shared" si="83"/>
        <v>0.9090909090909136</v>
      </c>
      <c r="BO47" s="7">
        <f t="shared" si="74"/>
        <v>1.2455516014234875</v>
      </c>
      <c r="BP47" s="7"/>
      <c r="BQ47" s="5">
        <v>196</v>
      </c>
      <c r="BR47" s="7">
        <f>43530/BQ47</f>
        <v>222.09183673469389</v>
      </c>
      <c r="BS47" s="8">
        <v>43100</v>
      </c>
      <c r="BT47" s="7">
        <f t="shared" si="46"/>
        <v>-13.274336283185841</v>
      </c>
      <c r="BU47" s="7">
        <f>BR47*100/BK47-100</f>
        <v>-13.00750617520804</v>
      </c>
      <c r="BV47" s="7">
        <f t="shared" si="47"/>
        <v>-24.253075571177504</v>
      </c>
    </row>
    <row r="48" spans="1:71" ht="12">
      <c r="A48" s="1" t="s">
        <v>43</v>
      </c>
      <c r="B48" s="5">
        <v>80</v>
      </c>
      <c r="C48" s="7">
        <v>225</v>
      </c>
      <c r="D48" s="8">
        <v>16500</v>
      </c>
      <c r="E48" s="8"/>
      <c r="F48" s="5">
        <v>85</v>
      </c>
      <c r="G48" s="7">
        <v>230</v>
      </c>
      <c r="H48" s="8">
        <v>18600</v>
      </c>
      <c r="I48" s="7">
        <f t="shared" si="57"/>
        <v>6.25</v>
      </c>
      <c r="J48" s="7">
        <f t="shared" si="75"/>
        <v>2.2222222222222223</v>
      </c>
      <c r="K48" s="7">
        <f t="shared" si="58"/>
        <v>12.727272727272727</v>
      </c>
      <c r="L48" s="7"/>
      <c r="M48" s="5">
        <v>80</v>
      </c>
      <c r="N48" s="7">
        <v>190</v>
      </c>
      <c r="O48" s="8">
        <v>14500</v>
      </c>
      <c r="P48" s="7">
        <f t="shared" si="59"/>
        <v>-5.882352941176471</v>
      </c>
      <c r="Q48" s="7">
        <f t="shared" si="76"/>
        <v>-17.391304347826086</v>
      </c>
      <c r="R48" s="7">
        <f t="shared" si="60"/>
        <v>-22.043010752688172</v>
      </c>
      <c r="S48" s="7"/>
      <c r="T48" s="5">
        <v>90</v>
      </c>
      <c r="U48" s="7">
        <v>200</v>
      </c>
      <c r="V48" s="8">
        <v>17500</v>
      </c>
      <c r="W48" s="7">
        <f t="shared" si="61"/>
        <v>12.5</v>
      </c>
      <c r="X48" s="7">
        <f t="shared" si="77"/>
        <v>5.2631578947368425</v>
      </c>
      <c r="Y48" s="7">
        <f t="shared" si="62"/>
        <v>20.689655172413794</v>
      </c>
      <c r="Z48" s="7"/>
      <c r="AA48" s="5">
        <v>60</v>
      </c>
      <c r="AB48" s="7">
        <v>220</v>
      </c>
      <c r="AC48" s="8">
        <v>12800</v>
      </c>
      <c r="AD48" s="7">
        <f t="shared" si="63"/>
        <v>-33.333333333333336</v>
      </c>
      <c r="AE48" s="7">
        <f t="shared" si="78"/>
        <v>10</v>
      </c>
      <c r="AF48" s="7">
        <f t="shared" si="64"/>
        <v>-26.857142857142858</v>
      </c>
      <c r="AG48" s="7"/>
      <c r="AH48" s="5">
        <v>50</v>
      </c>
      <c r="AI48" s="7">
        <v>210</v>
      </c>
      <c r="AJ48" s="8">
        <v>10300</v>
      </c>
      <c r="AK48" s="7">
        <f t="shared" si="65"/>
        <v>-16.666666666666668</v>
      </c>
      <c r="AL48" s="7">
        <f t="shared" si="79"/>
        <v>-4.545454545454546</v>
      </c>
      <c r="AM48" s="7">
        <f t="shared" si="66"/>
        <v>-19.53125</v>
      </c>
      <c r="AN48" s="7"/>
      <c r="AO48" s="5">
        <v>40</v>
      </c>
      <c r="AP48" s="7">
        <v>220</v>
      </c>
      <c r="AQ48" s="8">
        <v>8800</v>
      </c>
      <c r="AR48" s="7">
        <f t="shared" si="67"/>
        <v>-20</v>
      </c>
      <c r="AS48" s="7">
        <f t="shared" si="80"/>
        <v>4.761904761904762</v>
      </c>
      <c r="AT48" s="7">
        <f t="shared" si="68"/>
        <v>-14.563106796116505</v>
      </c>
      <c r="AU48" s="7"/>
      <c r="AV48" s="5">
        <v>45</v>
      </c>
      <c r="AW48" s="7">
        <v>200</v>
      </c>
      <c r="AX48" s="8">
        <v>9000</v>
      </c>
      <c r="AY48" s="7">
        <f t="shared" si="69"/>
        <v>12.5</v>
      </c>
      <c r="AZ48" s="7">
        <f t="shared" si="81"/>
        <v>-9.090909090909092</v>
      </c>
      <c r="BA48" s="7">
        <f t="shared" si="70"/>
        <v>2.272727272727273</v>
      </c>
      <c r="BB48" s="7"/>
      <c r="BC48" s="5">
        <v>35</v>
      </c>
      <c r="BD48" s="7">
        <v>228.6</v>
      </c>
      <c r="BE48" s="8">
        <v>8000</v>
      </c>
      <c r="BF48" s="7">
        <f t="shared" si="71"/>
        <v>-22.22222222222222</v>
      </c>
      <c r="BG48" s="7">
        <f t="shared" si="82"/>
        <v>14.299999999999997</v>
      </c>
      <c r="BH48" s="7">
        <f t="shared" si="72"/>
        <v>-11.11111111111111</v>
      </c>
      <c r="BI48" s="7"/>
      <c r="BJ48" s="5">
        <v>25</v>
      </c>
      <c r="BK48" s="7">
        <v>200</v>
      </c>
      <c r="BL48" s="8">
        <v>5000</v>
      </c>
      <c r="BM48" s="7">
        <f t="shared" si="73"/>
        <v>-28.571428571428573</v>
      </c>
      <c r="BN48" s="7">
        <f t="shared" si="83"/>
        <v>-12.510936132983375</v>
      </c>
      <c r="BO48" s="7">
        <f t="shared" si="74"/>
        <v>-37.5</v>
      </c>
      <c r="BP48" s="7"/>
      <c r="BQ48" s="5">
        <v>20</v>
      </c>
      <c r="BR48" s="7">
        <f>BS48/BQ48</f>
        <v>250</v>
      </c>
      <c r="BS48" s="8">
        <v>5000</v>
      </c>
    </row>
    <row r="49" spans="1:74" ht="12">
      <c r="A49" s="1" t="s">
        <v>44</v>
      </c>
      <c r="B49" s="5">
        <v>80</v>
      </c>
      <c r="C49" s="7">
        <v>228.8</v>
      </c>
      <c r="D49" s="8">
        <v>17100</v>
      </c>
      <c r="E49" s="8"/>
      <c r="F49" s="5">
        <v>70</v>
      </c>
      <c r="G49" s="7">
        <v>247.9</v>
      </c>
      <c r="H49" s="8">
        <v>15900</v>
      </c>
      <c r="I49" s="7">
        <f t="shared" si="57"/>
        <v>-12.5</v>
      </c>
      <c r="J49" s="7">
        <f t="shared" si="75"/>
        <v>8.347902097902095</v>
      </c>
      <c r="K49" s="7">
        <f t="shared" si="58"/>
        <v>-7.017543859649122</v>
      </c>
      <c r="L49" s="7"/>
      <c r="M49" s="5">
        <v>75</v>
      </c>
      <c r="N49" s="5">
        <v>232</v>
      </c>
      <c r="O49" s="8">
        <v>16500</v>
      </c>
      <c r="P49" s="7">
        <f t="shared" si="59"/>
        <v>7.142857142857143</v>
      </c>
      <c r="Q49" s="7">
        <f t="shared" si="76"/>
        <v>-6.413876563130296</v>
      </c>
      <c r="R49" s="7">
        <f t="shared" si="60"/>
        <v>3.7735849056603774</v>
      </c>
      <c r="S49" s="7"/>
      <c r="T49" s="5">
        <v>75</v>
      </c>
      <c r="U49" s="7">
        <v>242</v>
      </c>
      <c r="V49" s="8">
        <v>17400</v>
      </c>
      <c r="W49" s="7">
        <f t="shared" si="61"/>
        <v>0</v>
      </c>
      <c r="X49" s="7">
        <f t="shared" si="77"/>
        <v>4.310344827586207</v>
      </c>
      <c r="Y49" s="7">
        <f t="shared" si="62"/>
        <v>5.454545454545454</v>
      </c>
      <c r="Z49" s="7"/>
      <c r="AA49" s="5">
        <v>65</v>
      </c>
      <c r="AB49" s="7">
        <v>244.8</v>
      </c>
      <c r="AC49" s="8">
        <v>15100</v>
      </c>
      <c r="AD49" s="7">
        <f t="shared" si="63"/>
        <v>-13.333333333333334</v>
      </c>
      <c r="AE49" s="7">
        <f t="shared" si="78"/>
        <v>1.1570247933884346</v>
      </c>
      <c r="AF49" s="7">
        <f t="shared" si="64"/>
        <v>-13.218390804597702</v>
      </c>
      <c r="AG49" s="7"/>
      <c r="AH49" s="5">
        <v>60</v>
      </c>
      <c r="AI49" s="7">
        <v>240</v>
      </c>
      <c r="AJ49" s="8">
        <v>13700</v>
      </c>
      <c r="AK49" s="7">
        <f t="shared" si="65"/>
        <v>-7.6923076923076925</v>
      </c>
      <c r="AL49" s="7">
        <f t="shared" si="79"/>
        <v>-1.9607843137254948</v>
      </c>
      <c r="AM49" s="7">
        <f t="shared" si="66"/>
        <v>-9.271523178807946</v>
      </c>
      <c r="AN49" s="7"/>
      <c r="AO49" s="5">
        <v>60</v>
      </c>
      <c r="AP49" s="7">
        <v>251</v>
      </c>
      <c r="AQ49" s="8">
        <v>14300</v>
      </c>
      <c r="AR49" s="7">
        <f t="shared" si="67"/>
        <v>0</v>
      </c>
      <c r="AS49" s="7">
        <f t="shared" si="80"/>
        <v>4.583333333333333</v>
      </c>
      <c r="AT49" s="7">
        <f t="shared" si="68"/>
        <v>4.37956204379562</v>
      </c>
      <c r="AU49" s="7"/>
      <c r="AV49" s="5">
        <v>70</v>
      </c>
      <c r="AW49" s="7">
        <v>230</v>
      </c>
      <c r="AX49" s="8">
        <v>15300</v>
      </c>
      <c r="AY49" s="7">
        <f t="shared" si="69"/>
        <v>16.666666666666668</v>
      </c>
      <c r="AZ49" s="7">
        <f t="shared" si="81"/>
        <v>-8.366533864541832</v>
      </c>
      <c r="BA49" s="7">
        <f t="shared" si="70"/>
        <v>6.993006993006993</v>
      </c>
      <c r="BB49" s="7"/>
      <c r="BC49" s="5">
        <v>65</v>
      </c>
      <c r="BD49" s="7">
        <v>230</v>
      </c>
      <c r="BE49" s="8">
        <v>14200</v>
      </c>
      <c r="BF49" s="7">
        <f t="shared" si="71"/>
        <v>-7.142857142857143</v>
      </c>
      <c r="BG49" s="7">
        <f t="shared" si="82"/>
        <v>0</v>
      </c>
      <c r="BH49" s="7">
        <f t="shared" si="72"/>
        <v>-7.189542483660131</v>
      </c>
      <c r="BI49" s="7"/>
      <c r="BJ49" s="5">
        <v>60</v>
      </c>
      <c r="BK49" s="7">
        <v>235</v>
      </c>
      <c r="BL49" s="8">
        <v>14100</v>
      </c>
      <c r="BM49" s="7">
        <f t="shared" si="73"/>
        <v>-7.6923076923076925</v>
      </c>
      <c r="BN49" s="7">
        <f t="shared" si="83"/>
        <v>2.1739130434782608</v>
      </c>
      <c r="BO49" s="7">
        <f t="shared" si="74"/>
        <v>-0.704225352112676</v>
      </c>
      <c r="BP49" s="7"/>
      <c r="BQ49" s="5">
        <v>50</v>
      </c>
      <c r="BR49" s="7">
        <f>BS49/BQ49</f>
        <v>230</v>
      </c>
      <c r="BS49" s="8">
        <v>11500</v>
      </c>
      <c r="BT49" s="7">
        <f aca="true" t="shared" si="84" ref="BT49:BV50">BQ49*100/BJ49-100</f>
        <v>-16.666666666666668</v>
      </c>
      <c r="BU49" s="7">
        <f t="shared" si="84"/>
        <v>-2.127659574468085</v>
      </c>
      <c r="BV49" s="7">
        <f t="shared" si="84"/>
        <v>-18.43971631205674</v>
      </c>
    </row>
    <row r="50" spans="1:74" ht="12">
      <c r="A50" s="1" t="s">
        <v>45</v>
      </c>
      <c r="B50" s="12">
        <v>11.1</v>
      </c>
      <c r="C50" s="7">
        <f>4010/B50</f>
        <v>361.26126126126127</v>
      </c>
      <c r="D50" s="8">
        <v>3860</v>
      </c>
      <c r="E50" s="8"/>
      <c r="F50" s="12">
        <v>11.9</v>
      </c>
      <c r="G50" s="7">
        <f>4540/F50</f>
        <v>381.5126050420168</v>
      </c>
      <c r="H50" s="8">
        <v>4290</v>
      </c>
      <c r="I50" s="7">
        <f t="shared" si="57"/>
        <v>7.2072072072072135</v>
      </c>
      <c r="J50" s="7">
        <f t="shared" si="75"/>
        <v>5.60573356524654</v>
      </c>
      <c r="K50" s="7">
        <f t="shared" si="58"/>
        <v>11.139896373056995</v>
      </c>
      <c r="L50" s="7"/>
      <c r="M50" s="12">
        <v>13.3</v>
      </c>
      <c r="N50" s="5">
        <f>5510/M50</f>
        <v>414.2857142857143</v>
      </c>
      <c r="O50" s="8">
        <v>5240</v>
      </c>
      <c r="P50" s="7">
        <f t="shared" si="59"/>
        <v>11.764705882352944</v>
      </c>
      <c r="Q50" s="7">
        <f t="shared" si="76"/>
        <v>8.590308370044056</v>
      </c>
      <c r="R50" s="7">
        <f t="shared" si="60"/>
        <v>22.144522144522146</v>
      </c>
      <c r="S50" s="7"/>
      <c r="T50" s="12">
        <v>13.4</v>
      </c>
      <c r="U50" s="7">
        <f>5710/T50</f>
        <v>426.1194029850746</v>
      </c>
      <c r="V50" s="8">
        <v>5420</v>
      </c>
      <c r="W50" s="7">
        <f t="shared" si="61"/>
        <v>0.7518796992481176</v>
      </c>
      <c r="X50" s="7">
        <f t="shared" si="77"/>
        <v>2.8564076170869748</v>
      </c>
      <c r="Y50" s="7">
        <f t="shared" si="62"/>
        <v>3.435114503816794</v>
      </c>
      <c r="Z50" s="7"/>
      <c r="AA50" s="12">
        <v>14.35</v>
      </c>
      <c r="AB50" s="7">
        <v>432.8</v>
      </c>
      <c r="AC50" s="8">
        <v>5660</v>
      </c>
      <c r="AD50" s="7">
        <f t="shared" si="63"/>
        <v>7.089552238805965</v>
      </c>
      <c r="AE50" s="7">
        <f t="shared" si="78"/>
        <v>1.5677758318739143</v>
      </c>
      <c r="AF50" s="7">
        <f t="shared" si="64"/>
        <v>4.428044280442805</v>
      </c>
      <c r="AG50" s="7"/>
      <c r="AH50" s="12">
        <v>20.5</v>
      </c>
      <c r="AI50" s="7">
        <v>436.6</v>
      </c>
      <c r="AJ50" s="8">
        <v>8140</v>
      </c>
      <c r="AK50" s="7">
        <f t="shared" si="65"/>
        <v>42.85714285714286</v>
      </c>
      <c r="AL50" s="7">
        <f t="shared" si="79"/>
        <v>0.8780036968576735</v>
      </c>
      <c r="AM50" s="7">
        <f t="shared" si="66"/>
        <v>43.81625441696113</v>
      </c>
      <c r="AN50" s="7"/>
      <c r="AO50" s="5">
        <v>2650</v>
      </c>
      <c r="AP50" s="7">
        <v>415.8</v>
      </c>
      <c r="AQ50" s="8">
        <v>10070</v>
      </c>
      <c r="AR50" s="7">
        <f t="shared" si="67"/>
        <v>12826.829268292682</v>
      </c>
      <c r="AS50" s="7">
        <f t="shared" si="80"/>
        <v>-4.764086120018326</v>
      </c>
      <c r="AT50" s="7">
        <f t="shared" si="68"/>
        <v>23.71007371007371</v>
      </c>
      <c r="AU50" s="7"/>
      <c r="AV50" s="5">
        <v>2800</v>
      </c>
      <c r="AW50" s="7">
        <v>408.9</v>
      </c>
      <c r="AX50" s="8">
        <v>10440</v>
      </c>
      <c r="AY50" s="7">
        <f t="shared" si="69"/>
        <v>5.660377358490566</v>
      </c>
      <c r="AZ50" s="7">
        <f t="shared" si="81"/>
        <v>-1.6594516594516675</v>
      </c>
      <c r="BA50" s="7">
        <f t="shared" si="70"/>
        <v>3.674280039721946</v>
      </c>
      <c r="BB50" s="7"/>
      <c r="BC50" s="5">
        <v>2800</v>
      </c>
      <c r="BD50" s="7">
        <v>407.1</v>
      </c>
      <c r="BE50" s="8">
        <v>10970</v>
      </c>
      <c r="BF50" s="7">
        <f t="shared" si="71"/>
        <v>0</v>
      </c>
      <c r="BG50" s="7">
        <f t="shared" si="82"/>
        <v>-0.4402054292002824</v>
      </c>
      <c r="BH50" s="7">
        <f t="shared" si="72"/>
        <v>5.076628352490421</v>
      </c>
      <c r="BI50" s="7"/>
      <c r="BJ50" s="12">
        <v>26.08</v>
      </c>
      <c r="BK50" s="7">
        <v>446.1</v>
      </c>
      <c r="BL50" s="8">
        <v>11484</v>
      </c>
      <c r="BM50" s="7">
        <f t="shared" si="73"/>
        <v>-99.06857142857143</v>
      </c>
      <c r="BN50" s="7">
        <f t="shared" si="83"/>
        <v>9.579955784819454</v>
      </c>
      <c r="BO50" s="7">
        <f t="shared" si="74"/>
        <v>4.685505925250684</v>
      </c>
      <c r="BP50" s="7"/>
      <c r="BQ50" s="12">
        <v>31.5</v>
      </c>
      <c r="BR50" s="7">
        <v>474.6</v>
      </c>
      <c r="BS50" s="8">
        <v>14605</v>
      </c>
      <c r="BT50" s="7">
        <f t="shared" si="84"/>
        <v>20.78220858895706</v>
      </c>
      <c r="BU50" s="7">
        <f t="shared" si="84"/>
        <v>6.388702084734364</v>
      </c>
      <c r="BV50" s="7">
        <f t="shared" si="84"/>
        <v>27.176941832114245</v>
      </c>
    </row>
    <row r="51" spans="1:74" ht="12">
      <c r="A51" s="1" t="s">
        <v>8</v>
      </c>
      <c r="B51" s="5">
        <f>B50+B49</f>
        <v>91.1</v>
      </c>
      <c r="C51" s="10" t="s">
        <v>1</v>
      </c>
      <c r="D51" s="8">
        <f>D50+D49</f>
        <v>20960</v>
      </c>
      <c r="E51" s="8"/>
      <c r="F51" s="5">
        <f>F50+F49</f>
        <v>81.9</v>
      </c>
      <c r="G51" s="10" t="s">
        <v>1</v>
      </c>
      <c r="H51" s="8">
        <f>H50+H49</f>
        <v>20190</v>
      </c>
      <c r="I51" s="7">
        <f t="shared" si="57"/>
        <v>-10.09879253567507</v>
      </c>
      <c r="J51" s="10" t="s">
        <v>1</v>
      </c>
      <c r="K51" s="7">
        <f t="shared" si="58"/>
        <v>-3.6736641221374047</v>
      </c>
      <c r="L51" s="7"/>
      <c r="M51" s="5">
        <f>M50+M49</f>
        <v>88.3</v>
      </c>
      <c r="N51" s="6" t="s">
        <v>1</v>
      </c>
      <c r="O51" s="8">
        <f>O50+O49</f>
        <v>21740</v>
      </c>
      <c r="P51" s="7">
        <f t="shared" si="59"/>
        <v>7.8144078144078035</v>
      </c>
      <c r="Q51" s="10" t="s">
        <v>1</v>
      </c>
      <c r="R51" s="7">
        <f t="shared" si="60"/>
        <v>7.677067855373948</v>
      </c>
      <c r="S51" s="7"/>
      <c r="T51" s="5">
        <f>T50+T49</f>
        <v>88.4</v>
      </c>
      <c r="U51" s="6" t="s">
        <v>1</v>
      </c>
      <c r="V51" s="8">
        <f>V50+V49</f>
        <v>22820</v>
      </c>
      <c r="W51" s="7">
        <f t="shared" si="61"/>
        <v>0.11325028312571747</v>
      </c>
      <c r="X51" s="10" t="s">
        <v>1</v>
      </c>
      <c r="Y51" s="7">
        <f t="shared" si="62"/>
        <v>4.967801287948482</v>
      </c>
      <c r="Z51" s="7"/>
      <c r="AA51" s="5">
        <f>AA50+AA49</f>
        <v>79.35</v>
      </c>
      <c r="AB51" s="6" t="s">
        <v>1</v>
      </c>
      <c r="AC51" s="8">
        <f>AC50+AC49</f>
        <v>20760</v>
      </c>
      <c r="AD51" s="7">
        <f t="shared" si="63"/>
        <v>-10.237556561085984</v>
      </c>
      <c r="AE51" s="10" t="s">
        <v>1</v>
      </c>
      <c r="AF51" s="7">
        <f t="shared" si="64"/>
        <v>-9.027169149868536</v>
      </c>
      <c r="AG51" s="7"/>
      <c r="AH51" s="5">
        <f>AH50+AH49</f>
        <v>80.5</v>
      </c>
      <c r="AI51" s="10" t="s">
        <v>1</v>
      </c>
      <c r="AJ51" s="8">
        <f>AJ50+AJ49</f>
        <v>21840</v>
      </c>
      <c r="AK51" s="7">
        <f t="shared" si="65"/>
        <v>1.449275362318848</v>
      </c>
      <c r="AL51" s="10" t="s">
        <v>1</v>
      </c>
      <c r="AM51" s="7">
        <f t="shared" si="66"/>
        <v>5.202312138728324</v>
      </c>
      <c r="AN51" s="7"/>
      <c r="AO51" s="5">
        <f>AO50+AO49</f>
        <v>2710</v>
      </c>
      <c r="AP51" s="10" t="s">
        <v>1</v>
      </c>
      <c r="AQ51" s="8">
        <f>AQ50+AQ49</f>
        <v>24370</v>
      </c>
      <c r="AR51" s="7">
        <f t="shared" si="67"/>
        <v>3266.4596273291927</v>
      </c>
      <c r="AS51" s="10" t="s">
        <v>1</v>
      </c>
      <c r="AT51" s="7">
        <f t="shared" si="68"/>
        <v>11.584249084249084</v>
      </c>
      <c r="AU51" s="7"/>
      <c r="AV51" s="5">
        <f>AV50+AV49</f>
        <v>2870</v>
      </c>
      <c r="AW51" s="10" t="s">
        <v>1</v>
      </c>
      <c r="AX51" s="8">
        <f>AX50+AX49</f>
        <v>25740</v>
      </c>
      <c r="AY51" s="7">
        <f t="shared" si="69"/>
        <v>5.904059040590406</v>
      </c>
      <c r="AZ51" s="10" t="s">
        <v>1</v>
      </c>
      <c r="BA51" s="7">
        <f t="shared" si="70"/>
        <v>5.621665982765696</v>
      </c>
      <c r="BB51" s="7"/>
      <c r="BC51" s="5">
        <f>BC50+BC49</f>
        <v>2865</v>
      </c>
      <c r="BD51" s="10" t="s">
        <v>1</v>
      </c>
      <c r="BE51" s="8">
        <f>BE50+BE49</f>
        <v>25170</v>
      </c>
      <c r="BF51" s="7">
        <f t="shared" si="71"/>
        <v>-0.17421602787456447</v>
      </c>
      <c r="BG51" s="10" t="s">
        <v>1</v>
      </c>
      <c r="BH51" s="7">
        <f t="shared" si="72"/>
        <v>-2.2144522144522143</v>
      </c>
      <c r="BI51" s="7"/>
      <c r="BJ51" s="5">
        <f>BJ50+BJ49</f>
        <v>86.08</v>
      </c>
      <c r="BK51" s="10" t="s">
        <v>1</v>
      </c>
      <c r="BL51" s="8">
        <f>BL50+BL49</f>
        <v>25584</v>
      </c>
      <c r="BM51" s="7">
        <f t="shared" si="73"/>
        <v>-96.99546247818499</v>
      </c>
      <c r="BN51" s="10" t="s">
        <v>1</v>
      </c>
      <c r="BO51" s="7">
        <f t="shared" si="74"/>
        <v>1.6448152562574494</v>
      </c>
      <c r="BP51" s="7"/>
      <c r="BQ51" s="5">
        <f>BQ50+BQ49</f>
        <v>81.5</v>
      </c>
      <c r="BR51" s="10" t="s">
        <v>1</v>
      </c>
      <c r="BS51" s="8">
        <f>BS50+BS49</f>
        <v>26105</v>
      </c>
      <c r="BT51" s="7">
        <f aca="true" t="shared" si="85" ref="BT51:BT60">BQ51*100/BJ51-100</f>
        <v>-5.320631970260221</v>
      </c>
      <c r="BU51" s="10" t="s">
        <v>1</v>
      </c>
      <c r="BV51" s="7">
        <f aca="true" t="shared" si="86" ref="BV51:BV60">BS51*100/BL51-100</f>
        <v>2.036429018136335</v>
      </c>
    </row>
    <row r="52" spans="1:74" ht="12">
      <c r="A52" s="1" t="s">
        <v>46</v>
      </c>
      <c r="B52" s="5">
        <v>4725</v>
      </c>
      <c r="C52" s="7">
        <v>288.2</v>
      </c>
      <c r="D52" s="8">
        <v>1231900</v>
      </c>
      <c r="E52" s="8"/>
      <c r="F52" s="5">
        <v>4800</v>
      </c>
      <c r="G52" s="7">
        <v>292.9</v>
      </c>
      <c r="H52" s="8">
        <v>1360100</v>
      </c>
      <c r="I52" s="7">
        <f t="shared" si="57"/>
        <v>1.5873015873015872</v>
      </c>
      <c r="J52" s="7">
        <f>G52*100/C52-100</f>
        <v>1.6308119361554436</v>
      </c>
      <c r="K52" s="7">
        <f t="shared" si="58"/>
        <v>10.406688854614822</v>
      </c>
      <c r="L52" s="7"/>
      <c r="M52" s="5">
        <v>5765</v>
      </c>
      <c r="N52" s="7">
        <v>310.1</v>
      </c>
      <c r="O52" s="8">
        <v>1764600</v>
      </c>
      <c r="P52" s="7">
        <f t="shared" si="59"/>
        <v>20.104166666666668</v>
      </c>
      <c r="Q52" s="7">
        <f>N52*100/G52-100</f>
        <v>5.872311369067957</v>
      </c>
      <c r="R52" s="7">
        <f t="shared" si="60"/>
        <v>29.74046026027498</v>
      </c>
      <c r="S52" s="7"/>
      <c r="T52" s="5">
        <v>6190</v>
      </c>
      <c r="U52" s="7">
        <v>317.5</v>
      </c>
      <c r="V52" s="8">
        <v>1834500</v>
      </c>
      <c r="W52" s="7">
        <f t="shared" si="61"/>
        <v>7.372072853425846</v>
      </c>
      <c r="X52" s="7">
        <f>U52*100/N52-100</f>
        <v>2.3863269912931235</v>
      </c>
      <c r="Y52" s="7">
        <f t="shared" si="62"/>
        <v>3.9612376742604556</v>
      </c>
      <c r="Z52" s="7"/>
      <c r="AA52" s="5">
        <v>4780</v>
      </c>
      <c r="AB52" s="7">
        <v>318.2</v>
      </c>
      <c r="AC52" s="8">
        <v>1519300</v>
      </c>
      <c r="AD52" s="7">
        <f t="shared" si="63"/>
        <v>-22.778675282714055</v>
      </c>
      <c r="AE52" s="7">
        <f>AB52*100/U52-100</f>
        <v>0.2204724409448783</v>
      </c>
      <c r="AF52" s="7">
        <f t="shared" si="64"/>
        <v>-17.18179340419733</v>
      </c>
      <c r="AG52" s="7"/>
      <c r="AH52" s="5">
        <v>5340</v>
      </c>
      <c r="AI52" s="7">
        <v>340</v>
      </c>
      <c r="AJ52" s="8">
        <v>1803000</v>
      </c>
      <c r="AK52" s="7">
        <f t="shared" si="65"/>
        <v>11.715481171548117</v>
      </c>
      <c r="AL52" s="7">
        <f>AI52*100/AB52-100</f>
        <v>6.851037083595227</v>
      </c>
      <c r="AM52" s="7">
        <f t="shared" si="66"/>
        <v>18.67307312578161</v>
      </c>
      <c r="AN52" s="7"/>
      <c r="AO52" s="5">
        <v>5250</v>
      </c>
      <c r="AP52" s="7">
        <v>361.5</v>
      </c>
      <c r="AQ52" s="8">
        <v>1889300</v>
      </c>
      <c r="AR52" s="7">
        <f t="shared" si="67"/>
        <v>-1.6853932584269662</v>
      </c>
      <c r="AS52" s="7">
        <f>AP52*100/AI52-100</f>
        <v>6.323529411764706</v>
      </c>
      <c r="AT52" s="7">
        <f t="shared" si="68"/>
        <v>4.786466999445369</v>
      </c>
      <c r="AU52" s="7"/>
      <c r="AV52" s="5">
        <v>4589</v>
      </c>
      <c r="AW52" s="7">
        <v>304.7</v>
      </c>
      <c r="AX52" s="8">
        <v>1385500</v>
      </c>
      <c r="AY52" s="7">
        <f t="shared" si="69"/>
        <v>-12.59047619047619</v>
      </c>
      <c r="AZ52" s="7">
        <f>AW52*100/AP52-100</f>
        <v>-15.71230982019364</v>
      </c>
      <c r="BA52" s="7">
        <f t="shared" si="70"/>
        <v>-26.665960937913514</v>
      </c>
      <c r="BB52" s="7"/>
      <c r="BC52" s="5">
        <v>4238</v>
      </c>
      <c r="BD52" s="7">
        <v>339.7</v>
      </c>
      <c r="BE52" s="8">
        <v>1439400</v>
      </c>
      <c r="BF52" s="7">
        <f t="shared" si="71"/>
        <v>-7.648725212464589</v>
      </c>
      <c r="BG52" s="7">
        <f>BD52*100/AW52-100</f>
        <v>11.486708237610765</v>
      </c>
      <c r="BH52" s="7">
        <f t="shared" si="72"/>
        <v>3.8902923132443163</v>
      </c>
      <c r="BI52" s="7"/>
      <c r="BJ52" s="5">
        <v>3963</v>
      </c>
      <c r="BK52" s="7">
        <v>338.4</v>
      </c>
      <c r="BL52" s="8">
        <v>1340900</v>
      </c>
      <c r="BM52" s="7">
        <f t="shared" si="73"/>
        <v>-6.488909863142992</v>
      </c>
      <c r="BN52" s="7">
        <f>BK52*100/BD52-100</f>
        <v>-0.3826906093612044</v>
      </c>
      <c r="BO52" s="7">
        <f t="shared" si="74"/>
        <v>-6.843129081561762</v>
      </c>
      <c r="BP52" s="7"/>
      <c r="BQ52" s="5">
        <v>3800</v>
      </c>
      <c r="BR52" s="7">
        <v>312.2</v>
      </c>
      <c r="BS52" s="8">
        <v>1186500</v>
      </c>
      <c r="BT52" s="7">
        <f t="shared" si="85"/>
        <v>-4.113045672470351</v>
      </c>
      <c r="BU52" s="7">
        <f>BR52*100/BK52-100</f>
        <v>-7.742316784869973</v>
      </c>
      <c r="BV52" s="7">
        <f t="shared" si="86"/>
        <v>-11.51465433663957</v>
      </c>
    </row>
    <row r="53" spans="1:74" ht="12">
      <c r="A53" s="1" t="s">
        <v>47</v>
      </c>
      <c r="B53" s="5">
        <v>4334</v>
      </c>
      <c r="C53" s="7">
        <v>361</v>
      </c>
      <c r="D53" s="8">
        <v>1441000</v>
      </c>
      <c r="E53" s="8"/>
      <c r="F53" s="5">
        <v>4744</v>
      </c>
      <c r="G53" s="7">
        <v>392.6</v>
      </c>
      <c r="H53" s="8">
        <v>1430400</v>
      </c>
      <c r="I53" s="7">
        <f t="shared" si="57"/>
        <v>9.460083064143978</v>
      </c>
      <c r="J53" s="7">
        <f>G53*100/C53-100</f>
        <v>8.753462603878123</v>
      </c>
      <c r="K53" s="7">
        <f t="shared" si="58"/>
        <v>-0.7356002775850105</v>
      </c>
      <c r="L53" s="7"/>
      <c r="M53" s="5">
        <v>4089</v>
      </c>
      <c r="N53" s="7">
        <v>408</v>
      </c>
      <c r="O53" s="8">
        <v>1591800</v>
      </c>
      <c r="P53" s="7">
        <f t="shared" si="59"/>
        <v>-13.806913996627319</v>
      </c>
      <c r="Q53" s="7">
        <f>N53*100/G53-100</f>
        <v>3.922567498726433</v>
      </c>
      <c r="R53" s="7">
        <f t="shared" si="60"/>
        <v>11.283557046979865</v>
      </c>
      <c r="S53" s="7"/>
      <c r="T53" s="5">
        <v>4405</v>
      </c>
      <c r="U53" s="7">
        <v>356.7</v>
      </c>
      <c r="V53" s="8">
        <v>1491900</v>
      </c>
      <c r="W53" s="7">
        <f t="shared" si="61"/>
        <v>7.72805086818293</v>
      </c>
      <c r="X53" s="7">
        <f>U53*100/N53-100</f>
        <v>-12.573529411764708</v>
      </c>
      <c r="Y53" s="7">
        <f t="shared" si="62"/>
        <v>-6.2759140595552205</v>
      </c>
      <c r="Z53" s="7"/>
      <c r="AA53" s="5">
        <v>4655</v>
      </c>
      <c r="AB53" s="7">
        <v>389.5</v>
      </c>
      <c r="AC53" s="8">
        <v>1579800</v>
      </c>
      <c r="AD53" s="7">
        <f t="shared" si="63"/>
        <v>5.675368898978434</v>
      </c>
      <c r="AE53" s="7">
        <f>AB53*100/U53-100</f>
        <v>9.195402298850578</v>
      </c>
      <c r="AF53" s="7">
        <f t="shared" si="64"/>
        <v>5.891815805348884</v>
      </c>
      <c r="AG53" s="7"/>
      <c r="AH53" s="5">
        <v>4237</v>
      </c>
      <c r="AI53" s="7">
        <v>372</v>
      </c>
      <c r="AJ53" s="8">
        <v>1527500</v>
      </c>
      <c r="AK53" s="7">
        <f t="shared" si="65"/>
        <v>-8.979591836734693</v>
      </c>
      <c r="AL53" s="7">
        <f>AI53*100/AB53-100</f>
        <v>-4.492939666238768</v>
      </c>
      <c r="AM53" s="7">
        <f t="shared" si="66"/>
        <v>-3.3105456386884415</v>
      </c>
      <c r="AN53" s="7"/>
      <c r="AO53" s="5">
        <v>4332</v>
      </c>
      <c r="AP53" s="7">
        <v>379.9</v>
      </c>
      <c r="AQ53" s="8">
        <v>1614800</v>
      </c>
      <c r="AR53" s="7">
        <f t="shared" si="67"/>
        <v>2.242152466367713</v>
      </c>
      <c r="AS53" s="7">
        <f>AP53*100/AI53-100</f>
        <v>2.1236559139784883</v>
      </c>
      <c r="AT53" s="7">
        <f t="shared" si="68"/>
        <v>5.715220949263503</v>
      </c>
      <c r="AU53" s="7"/>
      <c r="AV53" s="5">
        <v>4334</v>
      </c>
      <c r="AW53" s="7">
        <v>403</v>
      </c>
      <c r="AX53" s="8">
        <v>1716400</v>
      </c>
      <c r="AY53" s="7">
        <f t="shared" si="69"/>
        <v>0.046168051708217916</v>
      </c>
      <c r="AZ53" s="7">
        <f>AW53*100/AP53-100</f>
        <v>6.080547512503297</v>
      </c>
      <c r="BA53" s="7">
        <f t="shared" si="70"/>
        <v>6.291800842209562</v>
      </c>
      <c r="BB53" s="7"/>
      <c r="BC53" s="5">
        <v>4915</v>
      </c>
      <c r="BD53" s="7">
        <v>424.3</v>
      </c>
      <c r="BE53" s="8">
        <v>2035600</v>
      </c>
      <c r="BF53" s="7">
        <f t="shared" si="71"/>
        <v>13.405629903091832</v>
      </c>
      <c r="BG53" s="7">
        <f>BD53*100/AW53-100</f>
        <v>5.285359801488837</v>
      </c>
      <c r="BH53" s="7">
        <f t="shared" si="72"/>
        <v>18.597063621533444</v>
      </c>
      <c r="BI53" s="7"/>
      <c r="BJ53" s="5">
        <v>4554</v>
      </c>
      <c r="BK53" s="7">
        <v>441.2</v>
      </c>
      <c r="BL53" s="8">
        <v>1889700</v>
      </c>
      <c r="BM53" s="7">
        <f t="shared" si="73"/>
        <v>-7.344862665310274</v>
      </c>
      <c r="BN53" s="7">
        <f>BK53*100/BD53-100</f>
        <v>3.9830308743813285</v>
      </c>
      <c r="BO53" s="7">
        <f t="shared" si="74"/>
        <v>-7.167419925329141</v>
      </c>
      <c r="BP53" s="7"/>
      <c r="BQ53" s="5">
        <v>4299</v>
      </c>
      <c r="BR53" s="7">
        <v>448.3</v>
      </c>
      <c r="BS53" s="8">
        <v>1853300</v>
      </c>
      <c r="BT53" s="7">
        <f t="shared" si="85"/>
        <v>-5.599472990777339</v>
      </c>
      <c r="BU53" s="7">
        <f>BR53*100/BK53-100</f>
        <v>1.6092475067996426</v>
      </c>
      <c r="BV53" s="7">
        <f t="shared" si="86"/>
        <v>-1.926231676985765</v>
      </c>
    </row>
    <row r="54" spans="1:74" ht="12">
      <c r="A54" s="1" t="s">
        <v>48</v>
      </c>
      <c r="B54" s="12">
        <v>5</v>
      </c>
      <c r="C54" s="7">
        <f>1750/B54</f>
        <v>350</v>
      </c>
      <c r="D54" s="8">
        <v>1620</v>
      </c>
      <c r="E54" s="8"/>
      <c r="F54" s="12">
        <v>2</v>
      </c>
      <c r="G54" s="7">
        <f>700/F54</f>
        <v>350</v>
      </c>
      <c r="H54" s="8">
        <v>620</v>
      </c>
      <c r="I54" s="7">
        <f t="shared" si="57"/>
        <v>-60</v>
      </c>
      <c r="J54" s="7">
        <f>G54*100/C54-100</f>
        <v>0</v>
      </c>
      <c r="K54" s="7">
        <f t="shared" si="58"/>
        <v>-61.72839506172839</v>
      </c>
      <c r="L54" s="7"/>
      <c r="M54" s="14" t="s">
        <v>1</v>
      </c>
      <c r="N54" s="14" t="s">
        <v>1</v>
      </c>
      <c r="O54" s="9" t="s">
        <v>1</v>
      </c>
      <c r="P54" s="7">
        <f t="shared" si="59"/>
        <v>-100</v>
      </c>
      <c r="Q54" s="7">
        <f>N54*100/G54-100</f>
        <v>-100</v>
      </c>
      <c r="R54" s="7">
        <f t="shared" si="60"/>
        <v>-100</v>
      </c>
      <c r="S54" s="7"/>
      <c r="T54" s="6" t="s">
        <v>1</v>
      </c>
      <c r="U54" s="6" t="s">
        <v>1</v>
      </c>
      <c r="V54" s="9" t="s">
        <v>1</v>
      </c>
      <c r="W54" s="6" t="s">
        <v>1</v>
      </c>
      <c r="X54" s="6" t="s">
        <v>1</v>
      </c>
      <c r="Y54" s="6" t="s">
        <v>1</v>
      </c>
      <c r="Z54" s="6"/>
      <c r="AA54" s="12">
        <v>1.5</v>
      </c>
      <c r="AB54" s="7">
        <v>440</v>
      </c>
      <c r="AC54" s="8">
        <v>650</v>
      </c>
      <c r="AD54" s="7" t="e">
        <f t="shared" si="63"/>
        <v>#VALUE!</v>
      </c>
      <c r="AE54" s="7" t="e">
        <f>AB54*100/U54-100</f>
        <v>#VALUE!</v>
      </c>
      <c r="AF54" s="7" t="e">
        <f t="shared" si="64"/>
        <v>#VALUE!</v>
      </c>
      <c r="AG54" s="7"/>
      <c r="AH54" s="6" t="s">
        <v>1</v>
      </c>
      <c r="AI54" s="10" t="s">
        <v>1</v>
      </c>
      <c r="AJ54" s="9" t="s">
        <v>1</v>
      </c>
      <c r="AK54" s="7">
        <f t="shared" si="65"/>
        <v>-100</v>
      </c>
      <c r="AL54" s="7">
        <f>AI54*100/AB54-100</f>
        <v>-100</v>
      </c>
      <c r="AM54" s="7">
        <f t="shared" si="66"/>
        <v>-100</v>
      </c>
      <c r="AN54" s="7"/>
      <c r="AO54" s="5">
        <v>85</v>
      </c>
      <c r="AP54" s="7">
        <v>400</v>
      </c>
      <c r="AQ54" s="8">
        <v>330</v>
      </c>
      <c r="AR54" s="10" t="s">
        <v>1</v>
      </c>
      <c r="AS54" s="10" t="s">
        <v>1</v>
      </c>
      <c r="AT54" s="10" t="s">
        <v>1</v>
      </c>
      <c r="AU54" s="10"/>
      <c r="AV54" s="5">
        <v>90</v>
      </c>
      <c r="AW54" s="7">
        <v>400</v>
      </c>
      <c r="AX54" s="8">
        <v>360</v>
      </c>
      <c r="AY54" s="7">
        <f t="shared" si="69"/>
        <v>5.882352941176471</v>
      </c>
      <c r="AZ54" s="7">
        <f>AW54*100/AP54-100</f>
        <v>0</v>
      </c>
      <c r="BA54" s="7">
        <f t="shared" si="70"/>
        <v>9.090909090909092</v>
      </c>
      <c r="BB54" s="7"/>
      <c r="BC54" s="5">
        <v>80</v>
      </c>
      <c r="BD54" s="7">
        <v>400</v>
      </c>
      <c r="BE54" s="8">
        <v>320</v>
      </c>
      <c r="BF54" s="7">
        <f t="shared" si="71"/>
        <v>-11.11111111111111</v>
      </c>
      <c r="BG54" s="7">
        <f>BD54*100/AW54-100</f>
        <v>0</v>
      </c>
      <c r="BH54" s="7">
        <f t="shared" si="72"/>
        <v>-11.11111111111111</v>
      </c>
      <c r="BI54" s="7"/>
      <c r="BJ54" s="12">
        <f>80/100</f>
        <v>0.8</v>
      </c>
      <c r="BK54" s="7">
        <v>420</v>
      </c>
      <c r="BL54" s="8">
        <v>320</v>
      </c>
      <c r="BM54" s="7">
        <f t="shared" si="73"/>
        <v>-99</v>
      </c>
      <c r="BN54" s="7">
        <f>BK54*100/BD54-100</f>
        <v>5</v>
      </c>
      <c r="BO54" s="7">
        <f t="shared" si="74"/>
        <v>0</v>
      </c>
      <c r="BP54" s="7"/>
      <c r="BQ54" s="12">
        <v>0.4</v>
      </c>
      <c r="BR54" s="7">
        <v>400</v>
      </c>
      <c r="BS54" s="8">
        <v>155</v>
      </c>
      <c r="BT54" s="7">
        <f t="shared" si="85"/>
        <v>-50</v>
      </c>
      <c r="BU54" s="7">
        <f>BR54*100/BK54-100</f>
        <v>-4.761904761904762</v>
      </c>
      <c r="BV54" s="7">
        <f t="shared" si="86"/>
        <v>-51.5625</v>
      </c>
    </row>
    <row r="55" spans="1:74" ht="12">
      <c r="A55" s="1" t="s">
        <v>8</v>
      </c>
      <c r="B55" s="5">
        <f>B54+B53</f>
        <v>4339</v>
      </c>
      <c r="C55" s="10" t="s">
        <v>1</v>
      </c>
      <c r="D55" s="8">
        <f>D54+D53</f>
        <v>1442620</v>
      </c>
      <c r="E55" s="8"/>
      <c r="F55" s="5">
        <f>F54+F53</f>
        <v>4746</v>
      </c>
      <c r="G55" s="10" t="s">
        <v>1</v>
      </c>
      <c r="H55" s="8">
        <f>H54+H53</f>
        <v>1431020</v>
      </c>
      <c r="I55" s="7">
        <f t="shared" si="57"/>
        <v>9.380041484212953</v>
      </c>
      <c r="J55" s="10" t="s">
        <v>1</v>
      </c>
      <c r="K55" s="7">
        <f t="shared" si="58"/>
        <v>-0.8040925538256782</v>
      </c>
      <c r="L55" s="7"/>
      <c r="M55" s="5">
        <f>SUM(M53:M54)</f>
        <v>4089</v>
      </c>
      <c r="N55" s="6" t="s">
        <v>1</v>
      </c>
      <c r="O55" s="8">
        <f>SUM(O53:O54)</f>
        <v>1591800</v>
      </c>
      <c r="P55" s="7">
        <f t="shared" si="59"/>
        <v>-13.84323640960809</v>
      </c>
      <c r="Q55" s="10" t="s">
        <v>1</v>
      </c>
      <c r="R55" s="7">
        <f t="shared" si="60"/>
        <v>11.235342622744616</v>
      </c>
      <c r="S55" s="7"/>
      <c r="T55" s="5">
        <f>SUM(T53:T54)</f>
        <v>4405</v>
      </c>
      <c r="U55" s="6" t="s">
        <v>1</v>
      </c>
      <c r="V55" s="8">
        <f>SUM(V53:V54)</f>
        <v>1491900</v>
      </c>
      <c r="W55" s="7">
        <f aca="true" t="shared" si="87" ref="W55:W60">T55*100/M55-100</f>
        <v>7.72805086818293</v>
      </c>
      <c r="X55" s="10" t="s">
        <v>1</v>
      </c>
      <c r="Y55" s="7">
        <f aca="true" t="shared" si="88" ref="Y55:Y60">V55*100/O55-100</f>
        <v>-6.2759140595552205</v>
      </c>
      <c r="Z55" s="7"/>
      <c r="AA55" s="5">
        <f>AA54+AA53</f>
        <v>4656.5</v>
      </c>
      <c r="AB55" s="6" t="s">
        <v>1</v>
      </c>
      <c r="AC55" s="8">
        <f>AC54+AC53</f>
        <v>1580450</v>
      </c>
      <c r="AD55" s="7">
        <f t="shared" si="63"/>
        <v>5.709421112372304</v>
      </c>
      <c r="AE55" s="10" t="s">
        <v>1</v>
      </c>
      <c r="AF55" s="7">
        <f t="shared" si="64"/>
        <v>5.935384409142704</v>
      </c>
      <c r="AG55" s="7"/>
      <c r="AH55" s="5">
        <f>SUM(AH53:AH54)</f>
        <v>4237</v>
      </c>
      <c r="AI55" s="10" t="s">
        <v>1</v>
      </c>
      <c r="AJ55" s="8">
        <f>SUM(AJ53:AJ54)</f>
        <v>1527500</v>
      </c>
      <c r="AK55" s="7">
        <f t="shared" si="65"/>
        <v>-9.00891227316654</v>
      </c>
      <c r="AL55" s="10" t="s">
        <v>1</v>
      </c>
      <c r="AM55" s="7">
        <f t="shared" si="66"/>
        <v>-3.350311620108197</v>
      </c>
      <c r="AN55" s="7"/>
      <c r="AO55" s="5">
        <f>AO54+AO53</f>
        <v>4417</v>
      </c>
      <c r="AP55" s="10" t="s">
        <v>1</v>
      </c>
      <c r="AQ55" s="8">
        <f>AQ54+AQ53</f>
        <v>1615130</v>
      </c>
      <c r="AR55" s="7">
        <f aca="true" t="shared" si="89" ref="AR55:AR60">AO55*100/AH55-100</f>
        <v>4.248288883644088</v>
      </c>
      <c r="AS55" s="10" t="s">
        <v>1</v>
      </c>
      <c r="AT55" s="7">
        <f aca="true" t="shared" si="90" ref="AT55:AT60">AQ55*100/AJ55-100</f>
        <v>5.73682487725041</v>
      </c>
      <c r="AU55" s="7"/>
      <c r="AV55" s="5">
        <f>AV54+AV53</f>
        <v>4424</v>
      </c>
      <c r="AW55" s="10" t="s">
        <v>1</v>
      </c>
      <c r="AX55" s="8">
        <f>AX54+AX53</f>
        <v>1716760</v>
      </c>
      <c r="AY55" s="7">
        <f t="shared" si="69"/>
        <v>0.15847860538827258</v>
      </c>
      <c r="AZ55" s="10" t="s">
        <v>1</v>
      </c>
      <c r="BA55" s="7">
        <f t="shared" si="70"/>
        <v>6.2923727501811</v>
      </c>
      <c r="BB55" s="7"/>
      <c r="BC55" s="5">
        <f>BC54+BC53</f>
        <v>4995</v>
      </c>
      <c r="BD55" s="10" t="s">
        <v>1</v>
      </c>
      <c r="BE55" s="8">
        <f>BE54+BE53</f>
        <v>2035920</v>
      </c>
      <c r="BF55" s="7">
        <f t="shared" si="71"/>
        <v>12.906871609403256</v>
      </c>
      <c r="BG55" s="10" t="s">
        <v>1</v>
      </c>
      <c r="BH55" s="7">
        <f t="shared" si="72"/>
        <v>18.590833896409517</v>
      </c>
      <c r="BI55" s="7"/>
      <c r="BJ55" s="5">
        <f>BJ54+BJ53</f>
        <v>4554.8</v>
      </c>
      <c r="BK55" s="10" t="s">
        <v>1</v>
      </c>
      <c r="BL55" s="8">
        <f>BL54+BL53</f>
        <v>1890020</v>
      </c>
      <c r="BM55" s="7">
        <f t="shared" si="73"/>
        <v>-8.81281281281281</v>
      </c>
      <c r="BN55" s="10" t="s">
        <v>1</v>
      </c>
      <c r="BO55" s="7">
        <f t="shared" si="74"/>
        <v>-7.166293371055837</v>
      </c>
      <c r="BP55" s="7"/>
      <c r="BQ55" s="5">
        <f>BQ54+BQ53</f>
        <v>4299.4</v>
      </c>
      <c r="BR55" s="10" t="s">
        <v>1</v>
      </c>
      <c r="BS55" s="8">
        <f>BS54+BS53</f>
        <v>1853455</v>
      </c>
      <c r="BT55" s="7">
        <f t="shared" si="85"/>
        <v>-5.607271449899019</v>
      </c>
      <c r="BU55" s="10" t="s">
        <v>1</v>
      </c>
      <c r="BV55" s="7">
        <f t="shared" si="86"/>
        <v>-1.9346356123215627</v>
      </c>
    </row>
    <row r="56" spans="1:74" ht="12">
      <c r="A56" s="1" t="s">
        <v>49</v>
      </c>
      <c r="B56" s="5">
        <v>2433</v>
      </c>
      <c r="C56" s="7">
        <v>73.6</v>
      </c>
      <c r="D56" s="8">
        <v>169500</v>
      </c>
      <c r="E56" s="8"/>
      <c r="F56" s="5">
        <v>2352</v>
      </c>
      <c r="G56" s="7">
        <v>77.5</v>
      </c>
      <c r="H56" s="8">
        <v>173500</v>
      </c>
      <c r="I56" s="7">
        <f t="shared" si="57"/>
        <v>-3.3292231812577064</v>
      </c>
      <c r="J56" s="7">
        <f>G56*100/C56-100</f>
        <v>5.298913043478269</v>
      </c>
      <c r="K56" s="7">
        <f t="shared" si="58"/>
        <v>2.359882005899705</v>
      </c>
      <c r="L56" s="7"/>
      <c r="M56" s="5">
        <v>2610</v>
      </c>
      <c r="N56" s="7">
        <v>77.3</v>
      </c>
      <c r="O56" s="8">
        <v>193400</v>
      </c>
      <c r="P56" s="7">
        <f t="shared" si="59"/>
        <v>10.96938775510204</v>
      </c>
      <c r="Q56" s="7">
        <f>N56*100/G56-100</f>
        <v>-0.2580645161290359</v>
      </c>
      <c r="R56" s="7">
        <f t="shared" si="60"/>
        <v>11.469740634005763</v>
      </c>
      <c r="S56" s="7"/>
      <c r="T56" s="5">
        <v>2935</v>
      </c>
      <c r="U56" s="7">
        <v>79.8</v>
      </c>
      <c r="V56" s="8">
        <v>224700</v>
      </c>
      <c r="W56" s="7">
        <f t="shared" si="87"/>
        <v>12.452107279693486</v>
      </c>
      <c r="X56" s="7">
        <f>U56*100/N56-100</f>
        <v>3.2341526520051747</v>
      </c>
      <c r="Y56" s="7">
        <f t="shared" si="88"/>
        <v>16.184074457083764</v>
      </c>
      <c r="Z56" s="7"/>
      <c r="AA56" s="5">
        <v>3645</v>
      </c>
      <c r="AB56" s="7">
        <v>73</v>
      </c>
      <c r="AC56" s="8">
        <v>255400</v>
      </c>
      <c r="AD56" s="7">
        <f t="shared" si="63"/>
        <v>24.190800681431003</v>
      </c>
      <c r="AE56" s="7">
        <f>AB56*100/U56-100</f>
        <v>-8.52130325814536</v>
      </c>
      <c r="AF56" s="7">
        <f t="shared" si="64"/>
        <v>13.662661326212728</v>
      </c>
      <c r="AG56" s="7"/>
      <c r="AH56" s="5">
        <v>3950</v>
      </c>
      <c r="AI56" s="7">
        <v>80.7</v>
      </c>
      <c r="AJ56" s="8">
        <v>315900</v>
      </c>
      <c r="AK56" s="7">
        <f t="shared" si="65"/>
        <v>8.367626886145406</v>
      </c>
      <c r="AL56" s="7">
        <f>AI56*100/AB56-100</f>
        <v>10.547945205479456</v>
      </c>
      <c r="AM56" s="7">
        <f t="shared" si="66"/>
        <v>23.688332028191073</v>
      </c>
      <c r="AN56" s="7"/>
      <c r="AO56" s="5">
        <v>3635</v>
      </c>
      <c r="AP56" s="7">
        <v>87.3</v>
      </c>
      <c r="AQ56" s="8">
        <v>315000</v>
      </c>
      <c r="AR56" s="7">
        <f t="shared" si="89"/>
        <v>-7.974683544303797</v>
      </c>
      <c r="AS56" s="7">
        <f>AP56*100/AI56-100</f>
        <v>8.17843866171003</v>
      </c>
      <c r="AT56" s="7">
        <f t="shared" si="90"/>
        <v>-0.2849002849002849</v>
      </c>
      <c r="AU56" s="7"/>
      <c r="AV56" s="5">
        <v>3548</v>
      </c>
      <c r="AW56" s="7">
        <v>89.9</v>
      </c>
      <c r="AX56" s="8">
        <v>312700</v>
      </c>
      <c r="AY56" s="7">
        <f t="shared" si="69"/>
        <v>-2.393397524071527</v>
      </c>
      <c r="AZ56" s="7">
        <f>AW56*100/AP56-100</f>
        <v>2.9782359679266994</v>
      </c>
      <c r="BA56" s="7">
        <f t="shared" si="70"/>
        <v>-0.7301587301587301</v>
      </c>
      <c r="BB56" s="7"/>
      <c r="BC56" s="5">
        <v>3195</v>
      </c>
      <c r="BD56" s="7">
        <v>79.6</v>
      </c>
      <c r="BE56" s="8">
        <v>253400</v>
      </c>
      <c r="BF56" s="7">
        <f t="shared" si="71"/>
        <v>-9.949267192784667</v>
      </c>
      <c r="BG56" s="7">
        <f>BD56*100/AW56-100</f>
        <v>-11.45717463848722</v>
      </c>
      <c r="BH56" s="7">
        <f t="shared" si="72"/>
        <v>-18.963863127598337</v>
      </c>
      <c r="BI56" s="7"/>
      <c r="BJ56" s="5">
        <v>3130</v>
      </c>
      <c r="BK56" s="7">
        <v>83.1</v>
      </c>
      <c r="BL56" s="8">
        <v>258000</v>
      </c>
      <c r="BM56" s="7">
        <f t="shared" si="73"/>
        <v>-2.0344287949921753</v>
      </c>
      <c r="BN56" s="7">
        <f>BK56*100/BD56-100</f>
        <v>4.396984924623116</v>
      </c>
      <c r="BO56" s="7">
        <f t="shared" si="74"/>
        <v>1.8153117600631412</v>
      </c>
      <c r="BP56" s="7"/>
      <c r="BQ56" s="5">
        <v>3337</v>
      </c>
      <c r="BR56" s="7">
        <v>80.6</v>
      </c>
      <c r="BS56" s="8">
        <v>268800</v>
      </c>
      <c r="BT56" s="7">
        <f t="shared" si="85"/>
        <v>6.613418530351438</v>
      </c>
      <c r="BU56" s="7">
        <f>BR56*100/BK56-100</f>
        <v>-3.008423586040915</v>
      </c>
      <c r="BV56" s="7">
        <f t="shared" si="86"/>
        <v>4.186046511627907</v>
      </c>
    </row>
    <row r="57" spans="1:74" ht="12">
      <c r="A57" s="1" t="s">
        <v>50</v>
      </c>
      <c r="B57" s="12">
        <v>2.8</v>
      </c>
      <c r="C57" s="7">
        <f>220/B57</f>
        <v>78.57142857142857</v>
      </c>
      <c r="D57" s="8">
        <v>210</v>
      </c>
      <c r="E57" s="8"/>
      <c r="F57" s="12">
        <v>3.6</v>
      </c>
      <c r="G57" s="7">
        <f>350/F57</f>
        <v>97.22222222222221</v>
      </c>
      <c r="H57" s="8">
        <v>340</v>
      </c>
      <c r="I57" s="7">
        <f t="shared" si="57"/>
        <v>28.571428571428584</v>
      </c>
      <c r="J57" s="7">
        <f>G57*100/C57-100</f>
        <v>23.73737373737373</v>
      </c>
      <c r="K57" s="7">
        <f t="shared" si="58"/>
        <v>61.904761904761905</v>
      </c>
      <c r="L57" s="7"/>
      <c r="M57" s="12">
        <v>10.3</v>
      </c>
      <c r="N57" s="7">
        <f>890/M57</f>
        <v>86.40776699029125</v>
      </c>
      <c r="O57" s="8">
        <v>890</v>
      </c>
      <c r="P57" s="7">
        <f t="shared" si="59"/>
        <v>186.11111111111111</v>
      </c>
      <c r="Q57" s="7">
        <f>N57*100/G57-100</f>
        <v>-11.123439667128993</v>
      </c>
      <c r="R57" s="7">
        <f t="shared" si="60"/>
        <v>161.76470588235293</v>
      </c>
      <c r="S57" s="7"/>
      <c r="T57" s="12">
        <v>14.2</v>
      </c>
      <c r="U57" s="7">
        <f>V57/T57</f>
        <v>79.5774647887324</v>
      </c>
      <c r="V57" s="8">
        <v>1130</v>
      </c>
      <c r="W57" s="7">
        <f t="shared" si="87"/>
        <v>37.8640776699029</v>
      </c>
      <c r="X57" s="7">
        <f>U57*100/N57-100</f>
        <v>-7.904731761354626</v>
      </c>
      <c r="Y57" s="7">
        <f t="shared" si="88"/>
        <v>26.96629213483146</v>
      </c>
      <c r="Z57" s="7"/>
      <c r="AA57" s="12">
        <v>15.2</v>
      </c>
      <c r="AB57" s="7">
        <f>AC57/AA57</f>
        <v>80.26315789473685</v>
      </c>
      <c r="AC57" s="8">
        <v>1220</v>
      </c>
      <c r="AD57" s="7">
        <f t="shared" si="63"/>
        <v>7.042253521126761</v>
      </c>
      <c r="AE57" s="7">
        <f>AB57*100/U57-100</f>
        <v>0.8616674429436454</v>
      </c>
      <c r="AF57" s="7">
        <f t="shared" si="64"/>
        <v>7.964601769911504</v>
      </c>
      <c r="AG57" s="7"/>
      <c r="AH57" s="12">
        <v>20.2</v>
      </c>
      <c r="AI57" s="7">
        <f>AJ57/AH57</f>
        <v>100</v>
      </c>
      <c r="AJ57" s="8">
        <v>2020</v>
      </c>
      <c r="AK57" s="7">
        <f t="shared" si="65"/>
        <v>32.89473684210527</v>
      </c>
      <c r="AL57" s="7">
        <f>AI57*100/AB57-100</f>
        <v>24.59016393442622</v>
      </c>
      <c r="AM57" s="7">
        <f t="shared" si="66"/>
        <v>65.57377049180327</v>
      </c>
      <c r="AN57" s="7"/>
      <c r="AO57" s="12">
        <v>22.2</v>
      </c>
      <c r="AP57" s="7">
        <v>100.5</v>
      </c>
      <c r="AQ57" s="8">
        <v>2010</v>
      </c>
      <c r="AR57" s="7">
        <f t="shared" si="89"/>
        <v>9.900990099009901</v>
      </c>
      <c r="AS57" s="7">
        <f>AP57*100/AI57-100</f>
        <v>0.5</v>
      </c>
      <c r="AT57" s="7">
        <f t="shared" si="90"/>
        <v>-0.49504950495049505</v>
      </c>
      <c r="AU57" s="7"/>
      <c r="AV57" s="12">
        <v>24.6</v>
      </c>
      <c r="AW57" s="7">
        <v>100</v>
      </c>
      <c r="AX57" s="8">
        <v>2220</v>
      </c>
      <c r="AY57" s="7">
        <f t="shared" si="69"/>
        <v>10.810810810810821</v>
      </c>
      <c r="AZ57" s="7">
        <f>AW57*100/AP57-100</f>
        <v>-0.4975124378109453</v>
      </c>
      <c r="BA57" s="7">
        <f t="shared" si="70"/>
        <v>10.447761194029852</v>
      </c>
      <c r="BB57" s="7"/>
      <c r="BC57" s="12">
        <v>30.35</v>
      </c>
      <c r="BD57" s="7">
        <v>100.2</v>
      </c>
      <c r="BE57" s="8">
        <v>2840</v>
      </c>
      <c r="BF57" s="7">
        <f t="shared" si="71"/>
        <v>23.373983739837396</v>
      </c>
      <c r="BG57" s="7">
        <f>BD57*100/AW57-100</f>
        <v>0.20000000000000284</v>
      </c>
      <c r="BH57" s="7">
        <f t="shared" si="72"/>
        <v>27.92792792792793</v>
      </c>
      <c r="BI57" s="7"/>
      <c r="BJ57" s="12">
        <v>31</v>
      </c>
      <c r="BK57" s="7">
        <v>120</v>
      </c>
      <c r="BL57" s="8">
        <v>3720</v>
      </c>
      <c r="BM57" s="7">
        <f t="shared" si="73"/>
        <v>2.1416803953871453</v>
      </c>
      <c r="BN57" s="7">
        <f>BK57*100/BD57-100</f>
        <v>19.760479041916163</v>
      </c>
      <c r="BO57" s="7">
        <f t="shared" si="74"/>
        <v>30.985915492957748</v>
      </c>
      <c r="BP57" s="7"/>
      <c r="BQ57" s="12">
        <v>33.02</v>
      </c>
      <c r="BR57" s="7">
        <v>150</v>
      </c>
      <c r="BS57" s="8">
        <v>4952</v>
      </c>
      <c r="BT57" s="7">
        <f t="shared" si="85"/>
        <v>6.516129032258075</v>
      </c>
      <c r="BU57" s="7">
        <f>BR57*100/BK57-100</f>
        <v>25</v>
      </c>
      <c r="BV57" s="7">
        <f t="shared" si="86"/>
        <v>33.11827956989247</v>
      </c>
    </row>
    <row r="58" spans="1:74" ht="12">
      <c r="A58" s="1" t="s">
        <v>51</v>
      </c>
      <c r="B58" s="5">
        <f>B57+B56</f>
        <v>2435.8</v>
      </c>
      <c r="C58" s="6" t="s">
        <v>1</v>
      </c>
      <c r="D58" s="8">
        <f>D56+D57</f>
        <v>169710</v>
      </c>
      <c r="E58" s="8"/>
      <c r="F58" s="5">
        <f>F57+F56</f>
        <v>2355.6</v>
      </c>
      <c r="G58" s="6" t="s">
        <v>1</v>
      </c>
      <c r="H58" s="8">
        <f>H57+H56</f>
        <v>173840</v>
      </c>
      <c r="I58" s="7">
        <f t="shared" si="57"/>
        <v>-3.2925527547417794</v>
      </c>
      <c r="J58" s="10" t="s">
        <v>1</v>
      </c>
      <c r="K58" s="7">
        <f t="shared" si="58"/>
        <v>2.433563137116257</v>
      </c>
      <c r="L58" s="7"/>
      <c r="M58" s="5">
        <f>M57+M56</f>
        <v>2620.3</v>
      </c>
      <c r="N58" s="6" t="s">
        <v>1</v>
      </c>
      <c r="O58" s="8">
        <f>O57+O56</f>
        <v>194290</v>
      </c>
      <c r="P58" s="7">
        <f t="shared" si="59"/>
        <v>11.237052131091879</v>
      </c>
      <c r="Q58" s="10" t="s">
        <v>1</v>
      </c>
      <c r="R58" s="7">
        <f t="shared" si="60"/>
        <v>11.763690750115048</v>
      </c>
      <c r="S58" s="7"/>
      <c r="T58" s="5">
        <f>T57+T56</f>
        <v>2949.2</v>
      </c>
      <c r="U58" s="6" t="s">
        <v>1</v>
      </c>
      <c r="V58" s="8">
        <f>V57+V56</f>
        <v>225830</v>
      </c>
      <c r="W58" s="7">
        <f t="shared" si="87"/>
        <v>12.551997862840118</v>
      </c>
      <c r="X58" s="10" t="s">
        <v>1</v>
      </c>
      <c r="Y58" s="7">
        <f t="shared" si="88"/>
        <v>16.233465438262392</v>
      </c>
      <c r="Z58" s="7"/>
      <c r="AA58" s="5">
        <f>AA57+AA56</f>
        <v>3660.2</v>
      </c>
      <c r="AB58" s="6" t="s">
        <v>1</v>
      </c>
      <c r="AC58" s="8">
        <f>AC57+AC56</f>
        <v>256620</v>
      </c>
      <c r="AD58" s="7">
        <f t="shared" si="63"/>
        <v>24.10823274108233</v>
      </c>
      <c r="AE58" s="7" t="e">
        <f>AB58*100/U58-100</f>
        <v>#VALUE!</v>
      </c>
      <c r="AF58" s="7">
        <f t="shared" si="64"/>
        <v>13.634149581543639</v>
      </c>
      <c r="AG58" s="7"/>
      <c r="AH58" s="5">
        <f>AH57+AH56</f>
        <v>3970.2</v>
      </c>
      <c r="AI58" s="10" t="s">
        <v>1</v>
      </c>
      <c r="AJ58" s="8">
        <f>AJ57+AJ56</f>
        <v>317920</v>
      </c>
      <c r="AK58" s="7">
        <f t="shared" si="65"/>
        <v>8.4694825419376</v>
      </c>
      <c r="AL58" s="10" t="s">
        <v>1</v>
      </c>
      <c r="AM58" s="7">
        <f t="shared" si="66"/>
        <v>23.887460057672822</v>
      </c>
      <c r="AN58" s="7"/>
      <c r="AO58" s="5">
        <f>AO57+AO56</f>
        <v>3657.2</v>
      </c>
      <c r="AP58" s="10" t="s">
        <v>1</v>
      </c>
      <c r="AQ58" s="8">
        <f>AQ57+AQ56</f>
        <v>317010</v>
      </c>
      <c r="AR58" s="7">
        <f t="shared" si="89"/>
        <v>-7.883733816936175</v>
      </c>
      <c r="AS58" s="7" t="e">
        <f>AP58*100/AI58-100</f>
        <v>#VALUE!</v>
      </c>
      <c r="AT58" s="7">
        <f t="shared" si="90"/>
        <v>-0.2862355309511827</v>
      </c>
      <c r="AU58" s="7"/>
      <c r="AV58" s="5">
        <f>AV57+AV56</f>
        <v>3572.6</v>
      </c>
      <c r="AW58" s="10" t="s">
        <v>1</v>
      </c>
      <c r="AX58" s="8">
        <f>AX57+AX56</f>
        <v>314920</v>
      </c>
      <c r="AY58" s="7">
        <f t="shared" si="69"/>
        <v>-2.3132451055452234</v>
      </c>
      <c r="AZ58" s="10" t="s">
        <v>1</v>
      </c>
      <c r="BA58" s="7">
        <f t="shared" si="70"/>
        <v>-0.6592851960505978</v>
      </c>
      <c r="BB58" s="7"/>
      <c r="BC58" s="5">
        <f>BC57+BC56</f>
        <v>3225.35</v>
      </c>
      <c r="BD58" s="10" t="s">
        <v>1</v>
      </c>
      <c r="BE58" s="8">
        <f>BE57+BE56</f>
        <v>256240</v>
      </c>
      <c r="BF58" s="7">
        <f t="shared" si="71"/>
        <v>-9.719811901696245</v>
      </c>
      <c r="BG58" s="10" t="s">
        <v>1</v>
      </c>
      <c r="BH58" s="7">
        <f t="shared" si="72"/>
        <v>-18.633303696176807</v>
      </c>
      <c r="BI58" s="7"/>
      <c r="BJ58" s="12">
        <f>BJ57+BJ56</f>
        <v>3161</v>
      </c>
      <c r="BK58" s="10" t="s">
        <v>1</v>
      </c>
      <c r="BL58" s="8">
        <f>BL57+BL56</f>
        <v>261720</v>
      </c>
      <c r="BM58" s="7">
        <f t="shared" si="73"/>
        <v>-1.9951323112220352</v>
      </c>
      <c r="BN58" s="7" t="e">
        <f>BK58*100/BD58-100</f>
        <v>#VALUE!</v>
      </c>
      <c r="BO58" s="7">
        <f t="shared" si="74"/>
        <v>2.1386200437090226</v>
      </c>
      <c r="BP58" s="7"/>
      <c r="BQ58" s="5">
        <f>BQ57+BQ56</f>
        <v>3370.02</v>
      </c>
      <c r="BR58" s="10" t="s">
        <v>1</v>
      </c>
      <c r="BS58" s="8">
        <f>BS57+BS56</f>
        <v>273752</v>
      </c>
      <c r="BT58" s="7">
        <f t="shared" si="85"/>
        <v>6.612464409996836</v>
      </c>
      <c r="BU58" s="10" t="s">
        <v>1</v>
      </c>
      <c r="BV58" s="7">
        <f t="shared" si="86"/>
        <v>4.597279535381324</v>
      </c>
    </row>
    <row r="59" spans="1:74" ht="12">
      <c r="A59" s="1" t="s">
        <v>52</v>
      </c>
      <c r="B59" s="5">
        <v>30</v>
      </c>
      <c r="C59" s="7">
        <v>65</v>
      </c>
      <c r="D59" s="8">
        <v>1900</v>
      </c>
      <c r="E59" s="8"/>
      <c r="F59" s="5">
        <v>30</v>
      </c>
      <c r="G59" s="7">
        <v>70</v>
      </c>
      <c r="H59" s="8">
        <v>2100</v>
      </c>
      <c r="I59" s="7">
        <f t="shared" si="57"/>
        <v>0</v>
      </c>
      <c r="J59" s="7">
        <f>G59*100/C59-100</f>
        <v>7.6923076923076925</v>
      </c>
      <c r="K59" s="7">
        <f t="shared" si="58"/>
        <v>10.526315789473685</v>
      </c>
      <c r="L59" s="7"/>
      <c r="M59" s="5">
        <v>80</v>
      </c>
      <c r="N59" s="7">
        <v>75</v>
      </c>
      <c r="O59" s="8">
        <v>6000</v>
      </c>
      <c r="P59" s="7">
        <f t="shared" si="59"/>
        <v>166.66666666666666</v>
      </c>
      <c r="Q59" s="7">
        <f>N59*100/G59-100</f>
        <v>7.142857142857143</v>
      </c>
      <c r="R59" s="7">
        <f t="shared" si="60"/>
        <v>185.71428571428572</v>
      </c>
      <c r="S59" s="7"/>
      <c r="T59" s="5">
        <v>90</v>
      </c>
      <c r="U59" s="7">
        <v>73.8</v>
      </c>
      <c r="V59" s="8">
        <v>6600</v>
      </c>
      <c r="W59" s="7">
        <f t="shared" si="87"/>
        <v>12.5</v>
      </c>
      <c r="X59" s="7">
        <f>U59*100/N59-100</f>
        <v>-1.6000000000000039</v>
      </c>
      <c r="Y59" s="7">
        <f t="shared" si="88"/>
        <v>10</v>
      </c>
      <c r="Z59" s="7"/>
      <c r="AA59" s="5">
        <v>90</v>
      </c>
      <c r="AB59" s="7">
        <v>66.9</v>
      </c>
      <c r="AC59" s="8">
        <v>6000</v>
      </c>
      <c r="AD59" s="7">
        <f t="shared" si="63"/>
        <v>0</v>
      </c>
      <c r="AE59" s="7">
        <f>AB59*100/U59-100</f>
        <v>-9.349593495934949</v>
      </c>
      <c r="AF59" s="7">
        <f t="shared" si="64"/>
        <v>-9.090909090909092</v>
      </c>
      <c r="AG59" s="7"/>
      <c r="AH59" s="5">
        <v>90</v>
      </c>
      <c r="AI59" s="7">
        <v>59.3</v>
      </c>
      <c r="AJ59" s="8">
        <v>5300</v>
      </c>
      <c r="AK59" s="7">
        <f t="shared" si="65"/>
        <v>0</v>
      </c>
      <c r="AL59" s="7">
        <f>AI59*100/AB59-100</f>
        <v>-11.360239162929759</v>
      </c>
      <c r="AM59" s="7">
        <f t="shared" si="66"/>
        <v>-11.666666666666666</v>
      </c>
      <c r="AN59" s="7"/>
      <c r="AO59" s="5">
        <v>95</v>
      </c>
      <c r="AP59" s="7">
        <v>45.7</v>
      </c>
      <c r="AQ59" s="8">
        <v>4300</v>
      </c>
      <c r="AR59" s="7">
        <f t="shared" si="89"/>
        <v>5.555555555555555</v>
      </c>
      <c r="AS59" s="7">
        <f>AP59*100/AI59-100</f>
        <v>-22.934232715008424</v>
      </c>
      <c r="AT59" s="7">
        <f t="shared" si="90"/>
        <v>-18.867924528301888</v>
      </c>
      <c r="AU59" s="7"/>
      <c r="AV59" s="5">
        <v>95</v>
      </c>
      <c r="AW59" s="7">
        <v>55.2</v>
      </c>
      <c r="AX59" s="8">
        <v>5200</v>
      </c>
      <c r="AY59" s="7">
        <f t="shared" si="69"/>
        <v>0</v>
      </c>
      <c r="AZ59" s="7">
        <f>AW59*100/AP59-100</f>
        <v>20.787746170678336</v>
      </c>
      <c r="BA59" s="7">
        <f t="shared" si="70"/>
        <v>20.930232558139537</v>
      </c>
      <c r="BB59" s="7"/>
      <c r="BC59" s="5">
        <v>90</v>
      </c>
      <c r="BD59" s="7">
        <v>45.1</v>
      </c>
      <c r="BE59" s="8">
        <v>4100</v>
      </c>
      <c r="BF59" s="7">
        <f t="shared" si="71"/>
        <v>-5.2631578947368425</v>
      </c>
      <c r="BG59" s="7">
        <f>BD59*100/AW59-100</f>
        <v>-18.297101449275363</v>
      </c>
      <c r="BH59" s="7">
        <f t="shared" si="72"/>
        <v>-21.153846153846153</v>
      </c>
      <c r="BI59" s="7"/>
      <c r="BJ59" s="5">
        <v>90</v>
      </c>
      <c r="BK59" s="7">
        <v>50</v>
      </c>
      <c r="BL59" s="8">
        <v>4500</v>
      </c>
      <c r="BM59" s="7">
        <f t="shared" si="73"/>
        <v>0</v>
      </c>
      <c r="BN59" s="7">
        <f>BK59*100/BD59-100</f>
        <v>10.864745011086471</v>
      </c>
      <c r="BO59" s="7">
        <f t="shared" si="74"/>
        <v>9.75609756097561</v>
      </c>
      <c r="BP59" s="7"/>
      <c r="BQ59" s="5">
        <v>210</v>
      </c>
      <c r="BR59" s="7">
        <v>38.6</v>
      </c>
      <c r="BS59" s="8">
        <v>8100</v>
      </c>
      <c r="BT59" s="7">
        <f t="shared" si="85"/>
        <v>133.33333333333334</v>
      </c>
      <c r="BU59" s="7">
        <f>BR59*100/BK59-100</f>
        <v>-22.799999999999997</v>
      </c>
      <c r="BV59" s="7">
        <f t="shared" si="86"/>
        <v>80</v>
      </c>
    </row>
    <row r="60" spans="1:74" ht="12">
      <c r="A60" s="1" t="s">
        <v>53</v>
      </c>
      <c r="B60" s="5">
        <v>368</v>
      </c>
      <c r="C60" s="7">
        <v>314.7</v>
      </c>
      <c r="D60" s="8">
        <v>115100</v>
      </c>
      <c r="E60" s="8"/>
      <c r="F60" s="5">
        <v>365</v>
      </c>
      <c r="G60" s="7">
        <v>304.8</v>
      </c>
      <c r="H60" s="8">
        <v>110600</v>
      </c>
      <c r="I60" s="7">
        <f t="shared" si="57"/>
        <v>-0.8152173913043478</v>
      </c>
      <c r="J60" s="7">
        <f>G60*100/C60-100</f>
        <v>-3.145853193517629</v>
      </c>
      <c r="K60" s="7">
        <f t="shared" si="58"/>
        <v>-3.909643788010426</v>
      </c>
      <c r="L60" s="7"/>
      <c r="M60" s="5">
        <v>390</v>
      </c>
      <c r="N60" s="7">
        <v>297.7</v>
      </c>
      <c r="O60" s="8">
        <v>113700</v>
      </c>
      <c r="P60" s="7">
        <f t="shared" si="59"/>
        <v>6.8493150684931505</v>
      </c>
      <c r="Q60" s="7">
        <f>N60*100/G60-100</f>
        <v>-2.329396325459325</v>
      </c>
      <c r="R60" s="7">
        <f t="shared" si="60"/>
        <v>2.8028933092224233</v>
      </c>
      <c r="S60" s="7"/>
      <c r="T60" s="5">
        <v>413</v>
      </c>
      <c r="U60" s="7">
        <v>318.1</v>
      </c>
      <c r="V60" s="8">
        <v>129300</v>
      </c>
      <c r="W60" s="7">
        <f t="shared" si="87"/>
        <v>5.897435897435898</v>
      </c>
      <c r="X60" s="7">
        <f>U60*100/N60-100</f>
        <v>6.852536110178043</v>
      </c>
      <c r="Y60" s="7">
        <f t="shared" si="88"/>
        <v>13.720316622691293</v>
      </c>
      <c r="Z60" s="7"/>
      <c r="AA60" s="5">
        <v>410</v>
      </c>
      <c r="AB60" s="7">
        <v>312.7</v>
      </c>
      <c r="AC60" s="8">
        <v>127800</v>
      </c>
      <c r="AD60" s="7">
        <f t="shared" si="63"/>
        <v>-0.7263922518159807</v>
      </c>
      <c r="AE60" s="7">
        <f>AB60*100/U60-100</f>
        <v>-1.697579377554239</v>
      </c>
      <c r="AF60" s="7">
        <f t="shared" si="64"/>
        <v>-1.160092807424594</v>
      </c>
      <c r="AG60" s="7"/>
      <c r="AH60" s="5">
        <v>402</v>
      </c>
      <c r="AI60" s="7">
        <v>318.2</v>
      </c>
      <c r="AJ60" s="8">
        <v>126400</v>
      </c>
      <c r="AK60" s="7">
        <f t="shared" si="65"/>
        <v>-1.951219512195122</v>
      </c>
      <c r="AL60" s="7">
        <f>AI60*100/AB60-100</f>
        <v>1.7588743204349218</v>
      </c>
      <c r="AM60" s="7">
        <f t="shared" si="66"/>
        <v>-1.0954616588419406</v>
      </c>
      <c r="AN60" s="7"/>
      <c r="AO60" s="5">
        <v>430</v>
      </c>
      <c r="AP60" s="7">
        <v>294.8</v>
      </c>
      <c r="AQ60" s="8">
        <v>124500</v>
      </c>
      <c r="AR60" s="7">
        <f t="shared" si="89"/>
        <v>6.965174129353234</v>
      </c>
      <c r="AS60" s="7">
        <f>AP60*100/AI60-100</f>
        <v>-7.35386549340037</v>
      </c>
      <c r="AT60" s="7">
        <f t="shared" si="90"/>
        <v>-1.5031645569620253</v>
      </c>
      <c r="AU60" s="7"/>
      <c r="AV60" s="5">
        <v>495</v>
      </c>
      <c r="AW60" s="7">
        <v>338.2</v>
      </c>
      <c r="AX60" s="8">
        <v>166700</v>
      </c>
      <c r="AY60" s="7">
        <f t="shared" si="69"/>
        <v>15.116279069767442</v>
      </c>
      <c r="AZ60" s="7">
        <f>AW60*100/AP60-100</f>
        <v>14.721845318860236</v>
      </c>
      <c r="BA60" s="7">
        <f t="shared" si="70"/>
        <v>33.89558232931727</v>
      </c>
      <c r="BB60" s="7"/>
      <c r="BC60" s="5">
        <v>482</v>
      </c>
      <c r="BD60" s="7">
        <v>297.4</v>
      </c>
      <c r="BE60" s="8">
        <v>138700</v>
      </c>
      <c r="BF60" s="7">
        <f t="shared" si="71"/>
        <v>-2.6262626262626263</v>
      </c>
      <c r="BG60" s="7">
        <f>BD60*100/AW60-100</f>
        <v>-12.063867534003553</v>
      </c>
      <c r="BH60" s="7">
        <f t="shared" si="72"/>
        <v>-16.796640671865628</v>
      </c>
      <c r="BI60" s="7"/>
      <c r="BJ60" s="5">
        <v>485</v>
      </c>
      <c r="BK60" s="7">
        <v>315.6</v>
      </c>
      <c r="BL60" s="8">
        <v>152700</v>
      </c>
      <c r="BM60" s="7">
        <f t="shared" si="73"/>
        <v>0.6224066390041494</v>
      </c>
      <c r="BN60" s="7">
        <f>BK60*100/BD60-100</f>
        <v>6.1197041022192495</v>
      </c>
      <c r="BO60" s="7">
        <f t="shared" si="74"/>
        <v>10.093727469358328</v>
      </c>
      <c r="BP60" s="7"/>
      <c r="BQ60" s="5">
        <v>486</v>
      </c>
      <c r="BR60" s="7">
        <v>323.9</v>
      </c>
      <c r="BS60" s="8">
        <v>156900</v>
      </c>
      <c r="BT60" s="7">
        <f t="shared" si="85"/>
        <v>0.2061855670103093</v>
      </c>
      <c r="BU60" s="7">
        <f>BR60*100/BK60-100</f>
        <v>2.6299112801013798</v>
      </c>
      <c r="BV60" s="7">
        <f t="shared" si="86"/>
        <v>2.75049115913556</v>
      </c>
    </row>
    <row r="61" spans="1:74" ht="12">
      <c r="A61" s="1" t="s">
        <v>54</v>
      </c>
      <c r="B61" s="12">
        <f>54/100</f>
        <v>0.54</v>
      </c>
      <c r="C61" s="7">
        <f>190/B61</f>
        <v>351.85185185185185</v>
      </c>
      <c r="D61" s="8">
        <v>170</v>
      </c>
      <c r="E61" s="8"/>
      <c r="F61" s="6" t="s">
        <v>1</v>
      </c>
      <c r="G61" s="6" t="s">
        <v>1</v>
      </c>
      <c r="H61" s="9" t="s">
        <v>1</v>
      </c>
      <c r="I61" s="6" t="s">
        <v>1</v>
      </c>
      <c r="J61" s="6" t="s">
        <v>1</v>
      </c>
      <c r="K61" s="6" t="s">
        <v>1</v>
      </c>
      <c r="L61" s="6"/>
      <c r="M61" s="6" t="s">
        <v>1</v>
      </c>
      <c r="N61" s="6" t="s">
        <v>1</v>
      </c>
      <c r="O61" s="9" t="s">
        <v>1</v>
      </c>
      <c r="P61" s="6" t="s">
        <v>1</v>
      </c>
      <c r="Q61" s="6" t="s">
        <v>1</v>
      </c>
      <c r="R61" s="6" t="s">
        <v>1</v>
      </c>
      <c r="S61" s="6"/>
      <c r="T61" s="6" t="s">
        <v>1</v>
      </c>
      <c r="U61" s="6" t="s">
        <v>1</v>
      </c>
      <c r="V61" s="9" t="s">
        <v>1</v>
      </c>
      <c r="W61" s="6" t="s">
        <v>1</v>
      </c>
      <c r="X61" s="6" t="s">
        <v>1</v>
      </c>
      <c r="Y61" s="6" t="s">
        <v>1</v>
      </c>
      <c r="Z61" s="6"/>
      <c r="AA61" s="6" t="s">
        <v>1</v>
      </c>
      <c r="AB61" s="6" t="s">
        <v>1</v>
      </c>
      <c r="AC61" s="9" t="s">
        <v>1</v>
      </c>
      <c r="AD61" s="6" t="s">
        <v>1</v>
      </c>
      <c r="AE61" s="6" t="s">
        <v>1</v>
      </c>
      <c r="AF61" s="6" t="s">
        <v>1</v>
      </c>
      <c r="AG61" s="6"/>
      <c r="AH61" s="6" t="s">
        <v>1</v>
      </c>
      <c r="AI61" s="10" t="s">
        <v>1</v>
      </c>
      <c r="AJ61" s="9" t="s">
        <v>1</v>
      </c>
      <c r="AK61" s="6" t="s">
        <v>1</v>
      </c>
      <c r="AL61" s="6" t="s">
        <v>1</v>
      </c>
      <c r="AM61" s="6" t="s">
        <v>1</v>
      </c>
      <c r="AN61" s="6"/>
      <c r="AO61" s="6" t="s">
        <v>1</v>
      </c>
      <c r="AP61" s="6" t="s">
        <v>1</v>
      </c>
      <c r="AQ61" s="9" t="s">
        <v>1</v>
      </c>
      <c r="AR61" s="6" t="s">
        <v>1</v>
      </c>
      <c r="AS61" s="6" t="s">
        <v>1</v>
      </c>
      <c r="AT61" s="6" t="s">
        <v>1</v>
      </c>
      <c r="AU61" s="6"/>
      <c r="AV61" s="6" t="s">
        <v>1</v>
      </c>
      <c r="AW61" s="6" t="s">
        <v>1</v>
      </c>
      <c r="AX61" s="9" t="s">
        <v>1</v>
      </c>
      <c r="AY61" s="6" t="s">
        <v>1</v>
      </c>
      <c r="AZ61" s="6" t="s">
        <v>1</v>
      </c>
      <c r="BA61" s="6" t="s">
        <v>1</v>
      </c>
      <c r="BB61" s="6"/>
      <c r="BC61" s="6" t="s">
        <v>1</v>
      </c>
      <c r="BD61" s="6" t="s">
        <v>1</v>
      </c>
      <c r="BE61" s="9" t="s">
        <v>1</v>
      </c>
      <c r="BF61" s="6" t="s">
        <v>1</v>
      </c>
      <c r="BG61" s="6" t="s">
        <v>1</v>
      </c>
      <c r="BH61" s="6" t="s">
        <v>1</v>
      </c>
      <c r="BI61" s="6"/>
      <c r="BJ61" s="6" t="s">
        <v>1</v>
      </c>
      <c r="BK61" s="6" t="s">
        <v>1</v>
      </c>
      <c r="BL61" s="9" t="s">
        <v>1</v>
      </c>
      <c r="BM61" s="6" t="s">
        <v>1</v>
      </c>
      <c r="BN61" s="6" t="s">
        <v>1</v>
      </c>
      <c r="BO61" s="6" t="s">
        <v>1</v>
      </c>
      <c r="BP61" s="6"/>
      <c r="BQ61" s="12">
        <v>0.06</v>
      </c>
      <c r="BR61" s="7">
        <v>200</v>
      </c>
      <c r="BS61" s="8">
        <v>12</v>
      </c>
      <c r="BT61" s="10" t="s">
        <v>1</v>
      </c>
      <c r="BU61" s="10" t="s">
        <v>1</v>
      </c>
      <c r="BV61" s="10" t="s">
        <v>1</v>
      </c>
    </row>
    <row r="62" spans="1:74" ht="12">
      <c r="A62" s="1" t="s">
        <v>55</v>
      </c>
      <c r="B62" s="5">
        <f>B61+B60</f>
        <v>368.54</v>
      </c>
      <c r="C62" s="6" t="s">
        <v>1</v>
      </c>
      <c r="D62" s="8">
        <f>D61+D60</f>
        <v>115270</v>
      </c>
      <c r="E62" s="8"/>
      <c r="F62" s="5">
        <f>SUM(F60:F61)</f>
        <v>365</v>
      </c>
      <c r="G62" s="6" t="s">
        <v>1</v>
      </c>
      <c r="H62" s="8">
        <f>SUM(H60:H61)</f>
        <v>110600</v>
      </c>
      <c r="I62" s="7">
        <f aca="true" t="shared" si="91" ref="I62:I81">F62*100/B62-100</f>
        <v>-0.9605470233895969</v>
      </c>
      <c r="J62" s="10" t="s">
        <v>1</v>
      </c>
      <c r="K62" s="7">
        <f aca="true" t="shared" si="92" ref="K62:K81">H62*100/D62-100</f>
        <v>-4.051357681964085</v>
      </c>
      <c r="L62" s="7"/>
      <c r="M62" s="5">
        <f>SUM(M60:M61)</f>
        <v>390</v>
      </c>
      <c r="N62" s="6" t="s">
        <v>1</v>
      </c>
      <c r="O62" s="8">
        <f>SUM(O60:O61)</f>
        <v>113700</v>
      </c>
      <c r="P62" s="7">
        <f aca="true" t="shared" si="93" ref="P62:R64">M62*100/F62-100</f>
        <v>6.8493150684931505</v>
      </c>
      <c r="Q62" s="7" t="e">
        <f t="shared" si="93"/>
        <v>#VALUE!</v>
      </c>
      <c r="R62" s="7">
        <f t="shared" si="93"/>
        <v>2.8028933092224233</v>
      </c>
      <c r="S62" s="7"/>
      <c r="T62" s="5">
        <f>SUM(T60:T61)</f>
        <v>413</v>
      </c>
      <c r="U62" s="6" t="s">
        <v>1</v>
      </c>
      <c r="V62" s="8">
        <f>SUM(V60:V61)</f>
        <v>129300</v>
      </c>
      <c r="W62" s="7">
        <f aca="true" t="shared" si="94" ref="W62:W81">T62*100/M62-100</f>
        <v>5.897435897435898</v>
      </c>
      <c r="X62" s="10" t="s">
        <v>1</v>
      </c>
      <c r="Y62" s="7">
        <f aca="true" t="shared" si="95" ref="Y62:Y81">V62*100/O62-100</f>
        <v>13.720316622691293</v>
      </c>
      <c r="Z62" s="7"/>
      <c r="AA62" s="5">
        <f>SUM(AA60:AA61)</f>
        <v>410</v>
      </c>
      <c r="AB62" s="6" t="s">
        <v>1</v>
      </c>
      <c r="AC62" s="8">
        <f>SUM(AC60:AC61)</f>
        <v>127800</v>
      </c>
      <c r="AD62" s="7">
        <f aca="true" t="shared" si="96" ref="AD62:AD81">AA62*100/T62-100</f>
        <v>-0.7263922518159807</v>
      </c>
      <c r="AE62" s="10" t="s">
        <v>1</v>
      </c>
      <c r="AF62" s="7">
        <f aca="true" t="shared" si="97" ref="AF62:AF81">AC62*100/V62-100</f>
        <v>-1.160092807424594</v>
      </c>
      <c r="AG62" s="7"/>
      <c r="AH62" s="5">
        <f>SUM(AH60:AH61)</f>
        <v>402</v>
      </c>
      <c r="AI62" s="10" t="s">
        <v>1</v>
      </c>
      <c r="AJ62" s="8">
        <f>SUM(AJ60:AJ61)</f>
        <v>126400</v>
      </c>
      <c r="AK62" s="7">
        <f aca="true" t="shared" si="98" ref="AK62:AK81">AH62*100/AA62-100</f>
        <v>-1.951219512195122</v>
      </c>
      <c r="AL62" s="10" t="s">
        <v>1</v>
      </c>
      <c r="AM62" s="7">
        <f aca="true" t="shared" si="99" ref="AM62:AM81">AJ62*100/AC62-100</f>
        <v>-1.0954616588419406</v>
      </c>
      <c r="AN62" s="7"/>
      <c r="AO62" s="5">
        <f>SUM(AO60:AO61)</f>
        <v>430</v>
      </c>
      <c r="AP62" s="10" t="s">
        <v>1</v>
      </c>
      <c r="AQ62" s="8">
        <f>SUM(AQ60:AQ61)</f>
        <v>124500</v>
      </c>
      <c r="AR62" s="7">
        <f aca="true" t="shared" si="100" ref="AR62:AR81">AO62*100/AH62-100</f>
        <v>6.965174129353234</v>
      </c>
      <c r="AS62" s="10" t="s">
        <v>1</v>
      </c>
      <c r="AT62" s="7">
        <f aca="true" t="shared" si="101" ref="AT62:AT81">AQ62*100/AJ62-100</f>
        <v>-1.5031645569620253</v>
      </c>
      <c r="AU62" s="7"/>
      <c r="AV62" s="5">
        <f>SUM(AV60:AV61)</f>
        <v>495</v>
      </c>
      <c r="AW62" s="10" t="s">
        <v>1</v>
      </c>
      <c r="AX62" s="8">
        <f>SUM(AX60:AX61)</f>
        <v>166700</v>
      </c>
      <c r="AY62" s="7">
        <f aca="true" t="shared" si="102" ref="AY62:AY81">AV62*100/AO62-100</f>
        <v>15.116279069767442</v>
      </c>
      <c r="AZ62" s="10" t="s">
        <v>1</v>
      </c>
      <c r="BA62" s="7">
        <f aca="true" t="shared" si="103" ref="BA62:BA81">AX62*100/AQ62-100</f>
        <v>33.89558232931727</v>
      </c>
      <c r="BB62" s="7"/>
      <c r="BC62" s="5">
        <f>SUM(BC60:BC61)</f>
        <v>482</v>
      </c>
      <c r="BD62" s="10" t="s">
        <v>1</v>
      </c>
      <c r="BE62" s="8">
        <f>SUM(BE60:BE61)</f>
        <v>138700</v>
      </c>
      <c r="BF62" s="7">
        <f aca="true" t="shared" si="104" ref="BF62:BF109">BC62*100/AV62-100</f>
        <v>-2.6262626262626263</v>
      </c>
      <c r="BG62" s="10" t="s">
        <v>1</v>
      </c>
      <c r="BH62" s="7">
        <f aca="true" t="shared" si="105" ref="BH62:BH109">BE62*100/AX62-100</f>
        <v>-16.796640671865628</v>
      </c>
      <c r="BI62" s="7"/>
      <c r="BJ62" s="5">
        <f>SUM(BJ60:BJ61)</f>
        <v>485</v>
      </c>
      <c r="BK62" s="10" t="s">
        <v>1</v>
      </c>
      <c r="BL62" s="8">
        <f>SUM(BL60:BL61)</f>
        <v>152700</v>
      </c>
      <c r="BM62" s="7">
        <f aca="true" t="shared" si="106" ref="BM62:BM109">BJ62*100/BC62-100</f>
        <v>0.6224066390041494</v>
      </c>
      <c r="BN62" s="10" t="s">
        <v>1</v>
      </c>
      <c r="BO62" s="7">
        <f aca="true" t="shared" si="107" ref="BO62:BO109">BL62*100/BE62-100</f>
        <v>10.093727469358328</v>
      </c>
      <c r="BP62" s="7"/>
      <c r="BQ62" s="5">
        <f>BQ61+BQ60</f>
        <v>486.06</v>
      </c>
      <c r="BR62" s="10" t="s">
        <v>1</v>
      </c>
      <c r="BS62" s="8">
        <f>BS61+BS60</f>
        <v>156912</v>
      </c>
      <c r="BT62" s="7">
        <f aca="true" t="shared" si="108" ref="BT62:BT109">BQ62*100/BJ62-100</f>
        <v>0.2185567010309283</v>
      </c>
      <c r="BU62" s="10" t="s">
        <v>1</v>
      </c>
      <c r="BV62" s="7">
        <f aca="true" t="shared" si="109" ref="BV62:BV109">BS62*100/BL62-100</f>
        <v>2.7583497053045187</v>
      </c>
    </row>
    <row r="63" spans="1:74" ht="12">
      <c r="A63" s="1" t="s">
        <v>56</v>
      </c>
      <c r="B63" s="5">
        <v>4717</v>
      </c>
      <c r="C63" s="7">
        <v>108.9</v>
      </c>
      <c r="D63" s="8">
        <v>469700</v>
      </c>
      <c r="E63" s="8"/>
      <c r="F63" s="5">
        <v>4573</v>
      </c>
      <c r="G63" s="7">
        <v>125.6</v>
      </c>
      <c r="H63" s="8">
        <v>540000</v>
      </c>
      <c r="I63" s="7">
        <f t="shared" si="91"/>
        <v>-3.052787788848845</v>
      </c>
      <c r="J63" s="7">
        <f>G63*100/C63-100</f>
        <v>15.335169880624415</v>
      </c>
      <c r="K63" s="7">
        <f t="shared" si="92"/>
        <v>14.967000212901853</v>
      </c>
      <c r="L63" s="7"/>
      <c r="M63" s="5">
        <v>4388</v>
      </c>
      <c r="N63" s="7">
        <v>127.2</v>
      </c>
      <c r="O63" s="8">
        <v>521200</v>
      </c>
      <c r="P63" s="7">
        <f t="shared" si="93"/>
        <v>-4.045484364749617</v>
      </c>
      <c r="Q63" s="7">
        <f t="shared" si="93"/>
        <v>1.2738853503184782</v>
      </c>
      <c r="R63" s="7">
        <f t="shared" si="93"/>
        <v>-3.4814814814814814</v>
      </c>
      <c r="S63" s="7"/>
      <c r="T63" s="5">
        <v>4703</v>
      </c>
      <c r="U63" s="7">
        <v>136.7</v>
      </c>
      <c r="V63" s="8">
        <v>599300</v>
      </c>
      <c r="W63" s="7">
        <f t="shared" si="94"/>
        <v>7.178669097538742</v>
      </c>
      <c r="X63" s="7">
        <f>U63*100/N63-100</f>
        <v>7.4685534591194855</v>
      </c>
      <c r="Y63" s="7">
        <f t="shared" si="95"/>
        <v>14.984650805832693</v>
      </c>
      <c r="Z63" s="7"/>
      <c r="AA63" s="5">
        <v>4931</v>
      </c>
      <c r="AB63" s="7">
        <v>147.4</v>
      </c>
      <c r="AC63" s="8">
        <v>644700</v>
      </c>
      <c r="AD63" s="7">
        <f t="shared" si="96"/>
        <v>4.847969381246013</v>
      </c>
      <c r="AE63" s="7">
        <f>AB63*100/U63-100</f>
        <v>7.82735918068765</v>
      </c>
      <c r="AF63" s="7">
        <f t="shared" si="97"/>
        <v>7.575504755548139</v>
      </c>
      <c r="AG63" s="7"/>
      <c r="AH63" s="5">
        <v>4551</v>
      </c>
      <c r="AI63" s="7">
        <v>151.8</v>
      </c>
      <c r="AJ63" s="8">
        <v>627400</v>
      </c>
      <c r="AK63" s="7">
        <f t="shared" si="98"/>
        <v>-7.706347596836341</v>
      </c>
      <c r="AL63" s="7">
        <f>AI63*100/AB63-100</f>
        <v>2.9850746268656754</v>
      </c>
      <c r="AM63" s="7">
        <f t="shared" si="99"/>
        <v>-2.6834186443306964</v>
      </c>
      <c r="AN63" s="7"/>
      <c r="AO63" s="5">
        <v>3775</v>
      </c>
      <c r="AP63" s="7">
        <v>132.1</v>
      </c>
      <c r="AQ63" s="8">
        <v>440500</v>
      </c>
      <c r="AR63" s="7">
        <f t="shared" si="100"/>
        <v>-17.051197539002416</v>
      </c>
      <c r="AS63" s="7">
        <f>AP63*100/AI63-100</f>
        <v>-12.977602108036901</v>
      </c>
      <c r="AT63" s="7">
        <f t="shared" si="101"/>
        <v>-29.789607905642335</v>
      </c>
      <c r="AU63" s="7"/>
      <c r="AV63" s="5">
        <v>3267</v>
      </c>
      <c r="AW63" s="7">
        <v>149.6</v>
      </c>
      <c r="AX63" s="8">
        <v>449100</v>
      </c>
      <c r="AY63" s="7">
        <f t="shared" si="102"/>
        <v>-13.456953642384105</v>
      </c>
      <c r="AZ63" s="7">
        <f>AW63*100/AP63-100</f>
        <v>13.247539742619228</v>
      </c>
      <c r="BA63" s="7">
        <f t="shared" si="103"/>
        <v>1.952326901248581</v>
      </c>
      <c r="BB63" s="7"/>
      <c r="BC63" s="5">
        <v>3281</v>
      </c>
      <c r="BD63" s="7">
        <v>152.9</v>
      </c>
      <c r="BE63" s="8">
        <v>457700</v>
      </c>
      <c r="BF63" s="7">
        <f t="shared" si="104"/>
        <v>0.42852770125497397</v>
      </c>
      <c r="BG63" s="7">
        <f>BD63*100/AW63-100</f>
        <v>2.205882352941184</v>
      </c>
      <c r="BH63" s="7">
        <f t="shared" si="105"/>
        <v>1.9149409930973058</v>
      </c>
      <c r="BI63" s="7"/>
      <c r="BJ63" s="5">
        <v>3166</v>
      </c>
      <c r="BK63" s="7">
        <v>153.1</v>
      </c>
      <c r="BL63" s="8">
        <v>440800</v>
      </c>
      <c r="BM63" s="7">
        <f t="shared" si="106"/>
        <v>-3.5050289545870164</v>
      </c>
      <c r="BN63" s="7">
        <f>BK63*100/BD63-100</f>
        <v>0.1308044473512025</v>
      </c>
      <c r="BO63" s="7">
        <f t="shared" si="107"/>
        <v>-3.692374918068604</v>
      </c>
      <c r="BP63" s="7"/>
      <c r="BQ63" s="5">
        <v>3101</v>
      </c>
      <c r="BR63" s="7">
        <v>165.1</v>
      </c>
      <c r="BS63" s="8">
        <v>461600</v>
      </c>
      <c r="BT63" s="7">
        <f t="shared" si="108"/>
        <v>-2.053063802905875</v>
      </c>
      <c r="BU63" s="7">
        <f>BR63*100/BK63-100</f>
        <v>7.838014369693012</v>
      </c>
      <c r="BV63" s="7">
        <f t="shared" si="109"/>
        <v>4.718693284936479</v>
      </c>
    </row>
    <row r="64" spans="1:74" ht="12">
      <c r="A64" s="1" t="s">
        <v>57</v>
      </c>
      <c r="B64" s="12">
        <v>441.2</v>
      </c>
      <c r="C64" s="7">
        <f>65060/B64</f>
        <v>147.46146872166818</v>
      </c>
      <c r="D64" s="8">
        <v>60950</v>
      </c>
      <c r="E64" s="8"/>
      <c r="F64" s="12">
        <v>490.25</v>
      </c>
      <c r="G64" s="7">
        <f>65650/F64</f>
        <v>133.91126976032638</v>
      </c>
      <c r="H64" s="8">
        <v>62770</v>
      </c>
      <c r="I64" s="7">
        <f t="shared" si="91"/>
        <v>11.11740707162285</v>
      </c>
      <c r="J64" s="7">
        <f>G64*100/C64-100</f>
        <v>-9.18897599407317</v>
      </c>
      <c r="K64" s="7">
        <f t="shared" si="92"/>
        <v>2.9860541427399507</v>
      </c>
      <c r="L64" s="7"/>
      <c r="M64" s="12">
        <v>526</v>
      </c>
      <c r="N64" s="5">
        <f>90420/M64</f>
        <v>171.90114068441065</v>
      </c>
      <c r="O64" s="8">
        <v>86000</v>
      </c>
      <c r="P64" s="7">
        <f t="shared" si="93"/>
        <v>7.292197858235594</v>
      </c>
      <c r="Q64" s="7">
        <f t="shared" si="93"/>
        <v>28.369435217871</v>
      </c>
      <c r="R64" s="7">
        <f t="shared" si="93"/>
        <v>37.00812490043014</v>
      </c>
      <c r="S64" s="7"/>
      <c r="T64" s="12">
        <v>612.7</v>
      </c>
      <c r="U64" s="7">
        <v>191.6</v>
      </c>
      <c r="V64" s="8">
        <v>111300</v>
      </c>
      <c r="W64" s="7">
        <f t="shared" si="94"/>
        <v>16.482889733840313</v>
      </c>
      <c r="X64" s="7">
        <f>U64*100/N64-100</f>
        <v>11.459411634594112</v>
      </c>
      <c r="Y64" s="7">
        <f t="shared" si="95"/>
        <v>29.41860465116279</v>
      </c>
      <c r="Z64" s="7"/>
      <c r="AA64" s="12">
        <v>643.5</v>
      </c>
      <c r="AB64" s="7">
        <v>202.3</v>
      </c>
      <c r="AC64" s="8">
        <v>114370</v>
      </c>
      <c r="AD64" s="7">
        <f t="shared" si="96"/>
        <v>5.026929982046671</v>
      </c>
      <c r="AE64" s="7">
        <f>AB64*100/U64-100</f>
        <v>5.584551148225478</v>
      </c>
      <c r="AF64" s="7">
        <f t="shared" si="97"/>
        <v>2.7583108715184186</v>
      </c>
      <c r="AG64" s="7"/>
      <c r="AH64" s="5">
        <v>70370</v>
      </c>
      <c r="AI64" s="7">
        <v>230.1</v>
      </c>
      <c r="AJ64" s="8">
        <v>140920</v>
      </c>
      <c r="AK64" s="7">
        <f t="shared" si="98"/>
        <v>10835.508935508935</v>
      </c>
      <c r="AL64" s="7">
        <f>AI64*100/AB64-100</f>
        <v>13.741967375185359</v>
      </c>
      <c r="AM64" s="7">
        <f t="shared" si="99"/>
        <v>23.214129579435166</v>
      </c>
      <c r="AN64" s="7"/>
      <c r="AO64" s="5">
        <v>70670</v>
      </c>
      <c r="AP64" s="7">
        <v>221.3</v>
      </c>
      <c r="AQ64" s="8">
        <v>141240</v>
      </c>
      <c r="AR64" s="7">
        <f t="shared" si="100"/>
        <v>0.4263180332528066</v>
      </c>
      <c r="AS64" s="7">
        <f>AP64*100/AI64-100</f>
        <v>-3.824424163407207</v>
      </c>
      <c r="AT64" s="7">
        <f t="shared" si="101"/>
        <v>0.22707919386886177</v>
      </c>
      <c r="AU64" s="7"/>
      <c r="AV64" s="5">
        <v>70162</v>
      </c>
      <c r="AW64" s="7">
        <v>228.6</v>
      </c>
      <c r="AX64" s="8">
        <v>146340</v>
      </c>
      <c r="AY64" s="7">
        <f t="shared" si="102"/>
        <v>-0.7188340172633366</v>
      </c>
      <c r="AZ64" s="7">
        <f>AW64*100/AP64-100</f>
        <v>3.2986895616809684</v>
      </c>
      <c r="BA64" s="7">
        <f t="shared" si="103"/>
        <v>3.610875106202209</v>
      </c>
      <c r="BB64" s="7"/>
      <c r="BC64" s="5">
        <v>46006</v>
      </c>
      <c r="BD64" s="7">
        <v>231.5</v>
      </c>
      <c r="BE64" s="8">
        <v>101500</v>
      </c>
      <c r="BF64" s="7">
        <f t="shared" si="104"/>
        <v>-34.428893133034975</v>
      </c>
      <c r="BG64" s="7">
        <f>BD64*100/AW64-100</f>
        <v>1.2685914260717435</v>
      </c>
      <c r="BH64" s="7">
        <f t="shared" si="105"/>
        <v>-30.64097307639743</v>
      </c>
      <c r="BI64" s="7"/>
      <c r="BJ64" s="12">
        <v>416.12</v>
      </c>
      <c r="BK64" s="7">
        <v>253.6</v>
      </c>
      <c r="BL64" s="8">
        <v>104545</v>
      </c>
      <c r="BM64" s="7">
        <f t="shared" si="106"/>
        <v>-99.09550928139808</v>
      </c>
      <c r="BN64" s="7">
        <f>BK64*100/BD64-100</f>
        <v>9.54643628509719</v>
      </c>
      <c r="BO64" s="7">
        <f t="shared" si="107"/>
        <v>3</v>
      </c>
      <c r="BP64" s="7"/>
      <c r="BQ64" s="12">
        <v>409.19</v>
      </c>
      <c r="BR64" s="7">
        <v>268.5</v>
      </c>
      <c r="BS64" s="8">
        <v>108787</v>
      </c>
      <c r="BT64" s="7">
        <f t="shared" si="108"/>
        <v>-1.6653849851004534</v>
      </c>
      <c r="BU64" s="7">
        <f>BR64*100/BK64-100</f>
        <v>5.875394321766564</v>
      </c>
      <c r="BV64" s="7">
        <f t="shared" si="109"/>
        <v>4.057582859055909</v>
      </c>
    </row>
    <row r="65" spans="1:74" ht="12">
      <c r="A65" s="1" t="s">
        <v>8</v>
      </c>
      <c r="B65" s="5">
        <f>B64+B63</f>
        <v>5158.2</v>
      </c>
      <c r="C65" s="10" t="s">
        <v>1</v>
      </c>
      <c r="D65" s="8">
        <f>D64+D63</f>
        <v>530650</v>
      </c>
      <c r="E65" s="8"/>
      <c r="F65" s="5">
        <f>F64+F63</f>
        <v>5063.25</v>
      </c>
      <c r="G65" s="10" t="s">
        <v>1</v>
      </c>
      <c r="H65" s="8">
        <f>H64+H63</f>
        <v>602770</v>
      </c>
      <c r="I65" s="7">
        <f t="shared" si="91"/>
        <v>-1.840758404094448</v>
      </c>
      <c r="J65" s="10" t="s">
        <v>1</v>
      </c>
      <c r="K65" s="7">
        <f t="shared" si="92"/>
        <v>13.590879110524828</v>
      </c>
      <c r="L65" s="7"/>
      <c r="M65" s="5">
        <f>M64+M63</f>
        <v>4914</v>
      </c>
      <c r="N65" s="6" t="s">
        <v>1</v>
      </c>
      <c r="O65" s="8">
        <f>O64+O63</f>
        <v>607200</v>
      </c>
      <c r="P65" s="7">
        <f aca="true" t="shared" si="110" ref="P65:P81">M65*100/F65-100</f>
        <v>-2.9477114501555324</v>
      </c>
      <c r="Q65" s="10" t="s">
        <v>1</v>
      </c>
      <c r="R65" s="7">
        <f aca="true" t="shared" si="111" ref="R65:R81">O65*100/H65-100</f>
        <v>0.7349403586774391</v>
      </c>
      <c r="S65" s="7"/>
      <c r="T65" s="5">
        <f>T64+T63</f>
        <v>5315.7</v>
      </c>
      <c r="U65" s="6" t="s">
        <v>1</v>
      </c>
      <c r="V65" s="8">
        <f>V64+V63</f>
        <v>710600</v>
      </c>
      <c r="W65" s="7">
        <f t="shared" si="94"/>
        <v>8.17460317460317</v>
      </c>
      <c r="X65" s="10" t="s">
        <v>1</v>
      </c>
      <c r="Y65" s="7">
        <f t="shared" si="95"/>
        <v>17.028985507246375</v>
      </c>
      <c r="Z65" s="7"/>
      <c r="AA65" s="5">
        <f>AA64+AA63</f>
        <v>5574.5</v>
      </c>
      <c r="AB65" s="6" t="s">
        <v>1</v>
      </c>
      <c r="AC65" s="8">
        <f>AC64+AC63</f>
        <v>759070</v>
      </c>
      <c r="AD65" s="7">
        <f t="shared" si="96"/>
        <v>4.868596798163933</v>
      </c>
      <c r="AE65" s="10" t="s">
        <v>1</v>
      </c>
      <c r="AF65" s="7">
        <f t="shared" si="97"/>
        <v>6.82099634112018</v>
      </c>
      <c r="AG65" s="7"/>
      <c r="AH65" s="5">
        <f>AH64+AH63</f>
        <v>74921</v>
      </c>
      <c r="AI65" s="10" t="s">
        <v>1</v>
      </c>
      <c r="AJ65" s="8">
        <f>AJ64+AJ63</f>
        <v>768320</v>
      </c>
      <c r="AK65" s="7">
        <f t="shared" si="98"/>
        <v>1243.9949771279935</v>
      </c>
      <c r="AL65" s="10" t="s">
        <v>1</v>
      </c>
      <c r="AM65" s="7">
        <f t="shared" si="99"/>
        <v>1.2185964403809926</v>
      </c>
      <c r="AN65" s="7"/>
      <c r="AO65" s="5">
        <f>AO64+AO63</f>
        <v>74445</v>
      </c>
      <c r="AP65" s="10" t="s">
        <v>1</v>
      </c>
      <c r="AQ65" s="8">
        <f>AQ64+AQ63</f>
        <v>581740</v>
      </c>
      <c r="AR65" s="7">
        <f t="shared" si="100"/>
        <v>-0.6353358871344483</v>
      </c>
      <c r="AS65" s="10" t="s">
        <v>1</v>
      </c>
      <c r="AT65" s="7">
        <f t="shared" si="101"/>
        <v>-24.2841524364848</v>
      </c>
      <c r="AU65" s="7"/>
      <c r="AV65" s="5">
        <f>AV64+AV63</f>
        <v>73429</v>
      </c>
      <c r="AW65" s="10" t="s">
        <v>1</v>
      </c>
      <c r="AX65" s="8">
        <f>AX64+AX63</f>
        <v>595440</v>
      </c>
      <c r="AY65" s="7">
        <f t="shared" si="102"/>
        <v>-1.3647659345825778</v>
      </c>
      <c r="AZ65" s="10" t="s">
        <v>1</v>
      </c>
      <c r="BA65" s="7">
        <f t="shared" si="103"/>
        <v>2.3550039536562726</v>
      </c>
      <c r="BB65" s="7"/>
      <c r="BC65" s="5">
        <f>BC64+BC63</f>
        <v>49287</v>
      </c>
      <c r="BD65" s="10" t="s">
        <v>1</v>
      </c>
      <c r="BE65" s="8">
        <f>BE64+BE63</f>
        <v>559200</v>
      </c>
      <c r="BF65" s="7">
        <f t="shared" si="104"/>
        <v>-32.87801822168353</v>
      </c>
      <c r="BG65" s="10" t="s">
        <v>1</v>
      </c>
      <c r="BH65" s="7">
        <f t="shared" si="105"/>
        <v>-6.086255542120113</v>
      </c>
      <c r="BI65" s="7"/>
      <c r="BJ65" s="5">
        <f>BJ64+BJ63</f>
        <v>3582.12</v>
      </c>
      <c r="BK65" s="10" t="s">
        <v>1</v>
      </c>
      <c r="BL65" s="8">
        <f>BL64+BL63</f>
        <v>545345</v>
      </c>
      <c r="BM65" s="7">
        <f t="shared" si="106"/>
        <v>-92.73212003165135</v>
      </c>
      <c r="BN65" s="10" t="s">
        <v>1</v>
      </c>
      <c r="BO65" s="7">
        <f t="shared" si="107"/>
        <v>-2.4776466380543636</v>
      </c>
      <c r="BP65" s="7"/>
      <c r="BQ65" s="5">
        <f>BQ64+BQ63</f>
        <v>3510.19</v>
      </c>
      <c r="BR65" s="10" t="s">
        <v>1</v>
      </c>
      <c r="BS65" s="8">
        <f>BS64+BS63</f>
        <v>570387</v>
      </c>
      <c r="BT65" s="7">
        <f t="shared" si="108"/>
        <v>-2.0080287650888256</v>
      </c>
      <c r="BU65" s="10" t="s">
        <v>1</v>
      </c>
      <c r="BV65" s="7">
        <f t="shared" si="109"/>
        <v>4.591955551073174</v>
      </c>
    </row>
    <row r="66" spans="1:74" ht="12">
      <c r="A66" s="1" t="s">
        <v>58</v>
      </c>
      <c r="B66" s="5">
        <v>265</v>
      </c>
      <c r="C66" s="7">
        <v>264.9</v>
      </c>
      <c r="D66" s="8">
        <v>69500</v>
      </c>
      <c r="E66" s="8"/>
      <c r="F66" s="5">
        <v>272</v>
      </c>
      <c r="G66" s="7">
        <v>264.3</v>
      </c>
      <c r="H66" s="8">
        <v>68700</v>
      </c>
      <c r="I66" s="7">
        <f t="shared" si="91"/>
        <v>2.641509433962264</v>
      </c>
      <c r="J66" s="7">
        <f>G66*100/C66-100</f>
        <v>-0.22650056625140277</v>
      </c>
      <c r="K66" s="7">
        <f t="shared" si="92"/>
        <v>-1.1510791366906474</v>
      </c>
      <c r="L66" s="7"/>
      <c r="M66" s="5">
        <v>269</v>
      </c>
      <c r="N66" s="7">
        <v>264.9</v>
      </c>
      <c r="O66" s="8">
        <v>68200</v>
      </c>
      <c r="P66" s="7">
        <f t="shared" si="110"/>
        <v>-1.1029411764705883</v>
      </c>
      <c r="Q66" s="7">
        <f>N66*100/G66-100</f>
        <v>0.22701475595912443</v>
      </c>
      <c r="R66" s="7">
        <f t="shared" si="111"/>
        <v>-0.727802037845706</v>
      </c>
      <c r="S66" s="7"/>
      <c r="T66" s="5">
        <v>277</v>
      </c>
      <c r="U66" s="7">
        <v>257.9</v>
      </c>
      <c r="V66" s="8">
        <v>68800</v>
      </c>
      <c r="W66" s="7">
        <f t="shared" si="94"/>
        <v>2.973977695167286</v>
      </c>
      <c r="X66" s="7">
        <f>U66*100/N66-100</f>
        <v>-2.6425066062665157</v>
      </c>
      <c r="Y66" s="7">
        <f t="shared" si="95"/>
        <v>0.8797653958944281</v>
      </c>
      <c r="Z66" s="7"/>
      <c r="AA66" s="5">
        <v>270</v>
      </c>
      <c r="AB66" s="7">
        <v>265.6</v>
      </c>
      <c r="AC66" s="8">
        <v>71000</v>
      </c>
      <c r="AD66" s="7">
        <f t="shared" si="96"/>
        <v>-2.527075812274368</v>
      </c>
      <c r="AE66" s="7">
        <f>AB66*100/U66-100</f>
        <v>2.985653354013201</v>
      </c>
      <c r="AF66" s="7">
        <f t="shared" si="97"/>
        <v>3.197674418604651</v>
      </c>
      <c r="AG66" s="7"/>
      <c r="AH66" s="5">
        <v>257</v>
      </c>
      <c r="AI66" s="7">
        <v>274.4</v>
      </c>
      <c r="AJ66" s="8">
        <v>69700</v>
      </c>
      <c r="AK66" s="7">
        <f t="shared" si="98"/>
        <v>-4.814814814814815</v>
      </c>
      <c r="AL66" s="7">
        <f>AI66*100/AB66-100</f>
        <v>3.3132530120481753</v>
      </c>
      <c r="AM66" s="7">
        <f t="shared" si="99"/>
        <v>-1.8309859154929577</v>
      </c>
      <c r="AN66" s="7"/>
      <c r="AO66" s="5">
        <v>294</v>
      </c>
      <c r="AP66" s="7">
        <v>275.9</v>
      </c>
      <c r="AQ66" s="8">
        <v>80100</v>
      </c>
      <c r="AR66" s="7">
        <f t="shared" si="100"/>
        <v>14.396887159533074</v>
      </c>
      <c r="AS66" s="7">
        <f>AP66*100/AI66-100</f>
        <v>0.5466472303206997</v>
      </c>
      <c r="AT66" s="7">
        <f t="shared" si="101"/>
        <v>14.921090387374463</v>
      </c>
      <c r="AU66" s="7"/>
      <c r="AV66" s="5">
        <v>251</v>
      </c>
      <c r="AW66" s="7">
        <v>269.3</v>
      </c>
      <c r="AX66" s="8">
        <v>66500</v>
      </c>
      <c r="AY66" s="7">
        <f t="shared" si="102"/>
        <v>-14.625850340136054</v>
      </c>
      <c r="AZ66" s="7">
        <f>AW66*100/AP66-100</f>
        <v>-2.392171076476972</v>
      </c>
      <c r="BA66" s="7">
        <f t="shared" si="103"/>
        <v>-16.978776529338326</v>
      </c>
      <c r="BB66" s="7"/>
      <c r="BC66" s="5">
        <v>249</v>
      </c>
      <c r="BD66" s="7">
        <v>263.1</v>
      </c>
      <c r="BE66" s="8">
        <v>64500</v>
      </c>
      <c r="BF66" s="7">
        <f t="shared" si="104"/>
        <v>-0.796812749003984</v>
      </c>
      <c r="BG66" s="7">
        <f>BD66*100/AW66-100</f>
        <v>-2.302265131823241</v>
      </c>
      <c r="BH66" s="7">
        <f t="shared" si="105"/>
        <v>-3.007518796992481</v>
      </c>
      <c r="BI66" s="7"/>
      <c r="BJ66" s="5">
        <v>244</v>
      </c>
      <c r="BK66" s="7">
        <v>255.7</v>
      </c>
      <c r="BL66" s="8">
        <v>61400</v>
      </c>
      <c r="BM66" s="7">
        <f t="shared" si="106"/>
        <v>-2.0080321285140563</v>
      </c>
      <c r="BN66" s="7">
        <f>BK66*100/BD66-100</f>
        <v>-2.8126187761307615</v>
      </c>
      <c r="BO66" s="7">
        <f t="shared" si="107"/>
        <v>-4.8062015503875966</v>
      </c>
      <c r="BP66" s="7"/>
      <c r="BQ66" s="5">
        <v>245</v>
      </c>
      <c r="BR66" s="7">
        <v>258.7</v>
      </c>
      <c r="BS66" s="8">
        <v>62600</v>
      </c>
      <c r="BT66" s="7">
        <f t="shared" si="108"/>
        <v>0.4098360655737705</v>
      </c>
      <c r="BU66" s="7">
        <f>BR66*100/BK66-100</f>
        <v>1.173249902229175</v>
      </c>
      <c r="BV66" s="7">
        <f t="shared" si="109"/>
        <v>1.9543973941368078</v>
      </c>
    </row>
    <row r="67" spans="1:74" ht="12">
      <c r="A67" s="1" t="s">
        <v>59</v>
      </c>
      <c r="B67" s="12">
        <v>1.3</v>
      </c>
      <c r="C67" s="7">
        <f>400/B67</f>
        <v>307.6923076923077</v>
      </c>
      <c r="D67" s="8">
        <v>330</v>
      </c>
      <c r="E67" s="8"/>
      <c r="F67" s="12">
        <v>1.4</v>
      </c>
      <c r="G67" s="7">
        <f>590/F67</f>
        <v>421.42857142857144</v>
      </c>
      <c r="H67" s="8">
        <v>510</v>
      </c>
      <c r="I67" s="7">
        <f t="shared" si="91"/>
        <v>7.692307692307682</v>
      </c>
      <c r="J67" s="7">
        <f>G67*100/C67-100</f>
        <v>36.96428571428572</v>
      </c>
      <c r="K67" s="7">
        <f t="shared" si="92"/>
        <v>54.54545454545455</v>
      </c>
      <c r="L67" s="7"/>
      <c r="M67" s="12">
        <v>1.4</v>
      </c>
      <c r="N67" s="5">
        <f>590/M67</f>
        <v>421.42857142857144</v>
      </c>
      <c r="O67" s="8">
        <v>520</v>
      </c>
      <c r="P67" s="7">
        <f t="shared" si="110"/>
        <v>0</v>
      </c>
      <c r="Q67" s="7">
        <f>N67*100/G67-100</f>
        <v>0</v>
      </c>
      <c r="R67" s="7">
        <f t="shared" si="111"/>
        <v>1.9607843137254901</v>
      </c>
      <c r="S67" s="7"/>
      <c r="T67" s="7">
        <v>2.4</v>
      </c>
      <c r="U67" s="7">
        <v>258.3</v>
      </c>
      <c r="V67" s="8">
        <v>580</v>
      </c>
      <c r="W67" s="7">
        <f t="shared" si="94"/>
        <v>71.42857142857143</v>
      </c>
      <c r="X67" s="7">
        <f>U67*100/N67-100</f>
        <v>-38.708474576271186</v>
      </c>
      <c r="Y67" s="7">
        <f t="shared" si="95"/>
        <v>11.538461538461538</v>
      </c>
      <c r="Z67" s="7"/>
      <c r="AA67" s="12">
        <v>2.5</v>
      </c>
      <c r="AB67" s="7">
        <v>292</v>
      </c>
      <c r="AC67" s="8">
        <v>650</v>
      </c>
      <c r="AD67" s="7">
        <f t="shared" si="96"/>
        <v>4.1666666666666705</v>
      </c>
      <c r="AE67" s="7">
        <f>AB67*100/U67-100</f>
        <v>13.046844754161823</v>
      </c>
      <c r="AF67" s="7">
        <f t="shared" si="97"/>
        <v>12.068965517241379</v>
      </c>
      <c r="AG67" s="7"/>
      <c r="AH67" s="5">
        <v>300</v>
      </c>
      <c r="AI67" s="7">
        <v>300</v>
      </c>
      <c r="AJ67" s="8">
        <v>800</v>
      </c>
      <c r="AK67" s="7">
        <f t="shared" si="98"/>
        <v>11900</v>
      </c>
      <c r="AL67" s="7">
        <f>AI67*100/AB67-100</f>
        <v>2.73972602739726</v>
      </c>
      <c r="AM67" s="7">
        <f t="shared" si="99"/>
        <v>23.076923076923077</v>
      </c>
      <c r="AN67" s="7"/>
      <c r="AO67" s="5">
        <v>330</v>
      </c>
      <c r="AP67" s="7">
        <v>306.1</v>
      </c>
      <c r="AQ67" s="8">
        <v>930</v>
      </c>
      <c r="AR67" s="7">
        <f t="shared" si="100"/>
        <v>10</v>
      </c>
      <c r="AS67" s="7">
        <f>AP67*100/AI67-100</f>
        <v>2.0333333333333408</v>
      </c>
      <c r="AT67" s="7">
        <f t="shared" si="101"/>
        <v>16.25</v>
      </c>
      <c r="AU67" s="7"/>
      <c r="AV67" s="5">
        <v>550</v>
      </c>
      <c r="AW67" s="7">
        <v>263.6</v>
      </c>
      <c r="AX67" s="8">
        <v>1390</v>
      </c>
      <c r="AY67" s="7">
        <f t="shared" si="102"/>
        <v>66.66666666666667</v>
      </c>
      <c r="AZ67" s="7">
        <f>AW67*100/AP67-100</f>
        <v>-13.8843515191114</v>
      </c>
      <c r="BA67" s="7">
        <f t="shared" si="103"/>
        <v>49.46236559139785</v>
      </c>
      <c r="BB67" s="7"/>
      <c r="BC67" s="5">
        <v>350</v>
      </c>
      <c r="BD67" s="7">
        <v>307.1</v>
      </c>
      <c r="BE67" s="8">
        <v>1000</v>
      </c>
      <c r="BF67" s="7">
        <f t="shared" si="104"/>
        <v>-36.36363636363637</v>
      </c>
      <c r="BG67" s="7">
        <f>BD67*100/AW67-100</f>
        <v>16.502276176024278</v>
      </c>
      <c r="BH67" s="7">
        <f t="shared" si="105"/>
        <v>-28.057553956834532</v>
      </c>
      <c r="BI67" s="7"/>
      <c r="BJ67" s="12">
        <v>3</v>
      </c>
      <c r="BK67" s="7">
        <v>300</v>
      </c>
      <c r="BL67" s="8">
        <v>900</v>
      </c>
      <c r="BM67" s="7">
        <f t="shared" si="106"/>
        <v>-99.14285714285714</v>
      </c>
      <c r="BN67" s="7">
        <f>BK67*100/BD67-100</f>
        <v>-2.3119505047215965</v>
      </c>
      <c r="BO67" s="7">
        <f t="shared" si="107"/>
        <v>-10</v>
      </c>
      <c r="BP67" s="7"/>
      <c r="BQ67" s="5">
        <v>3</v>
      </c>
      <c r="BR67" s="7">
        <v>293.3</v>
      </c>
      <c r="BS67" s="8">
        <v>880</v>
      </c>
      <c r="BT67" s="7">
        <f t="shared" si="108"/>
        <v>0</v>
      </c>
      <c r="BU67" s="7">
        <f>BR67*100/BK67-100</f>
        <v>-2.2333333333333294</v>
      </c>
      <c r="BV67" s="7">
        <f t="shared" si="109"/>
        <v>-2.2222222222222223</v>
      </c>
    </row>
    <row r="68" spans="1:74" ht="12">
      <c r="A68" s="1" t="s">
        <v>60</v>
      </c>
      <c r="B68" s="5">
        <f>B67+B66</f>
        <v>266.3</v>
      </c>
      <c r="C68" s="10" t="s">
        <v>1</v>
      </c>
      <c r="D68" s="8">
        <f>D67+D66</f>
        <v>69830</v>
      </c>
      <c r="E68" s="8"/>
      <c r="F68" s="5">
        <f>F67+F66</f>
        <v>273.4</v>
      </c>
      <c r="G68" s="10" t="s">
        <v>1</v>
      </c>
      <c r="H68" s="8">
        <f>H67+H66</f>
        <v>69210</v>
      </c>
      <c r="I68" s="7">
        <f t="shared" si="91"/>
        <v>2.6661659782200395</v>
      </c>
      <c r="J68" s="10" t="s">
        <v>1</v>
      </c>
      <c r="K68" s="7">
        <f t="shared" si="92"/>
        <v>-0.8878705427466705</v>
      </c>
      <c r="L68" s="7"/>
      <c r="M68" s="5">
        <f>M67+M66</f>
        <v>270.4</v>
      </c>
      <c r="N68" s="6" t="s">
        <v>1</v>
      </c>
      <c r="O68" s="8">
        <f>O67+O66</f>
        <v>68720</v>
      </c>
      <c r="P68" s="7">
        <f t="shared" si="110"/>
        <v>-1.097293343087052</v>
      </c>
      <c r="Q68" s="10" t="s">
        <v>1</v>
      </c>
      <c r="R68" s="7">
        <f t="shared" si="111"/>
        <v>-0.7079901748302269</v>
      </c>
      <c r="S68" s="7"/>
      <c r="T68" s="5">
        <f>T67+T66</f>
        <v>279.4</v>
      </c>
      <c r="U68" s="6" t="s">
        <v>1</v>
      </c>
      <c r="V68" s="8">
        <f>V67+V66</f>
        <v>69380</v>
      </c>
      <c r="W68" s="7">
        <f t="shared" si="94"/>
        <v>3.3284023668639056</v>
      </c>
      <c r="X68" s="10" t="s">
        <v>1</v>
      </c>
      <c r="Y68" s="7">
        <f t="shared" si="95"/>
        <v>0.9604190919674039</v>
      </c>
      <c r="Z68" s="7"/>
      <c r="AA68" s="5">
        <f>AA67+AA66</f>
        <v>272.5</v>
      </c>
      <c r="AB68" s="6" t="s">
        <v>1</v>
      </c>
      <c r="AC68" s="8">
        <f>AC67+AC66</f>
        <v>71650</v>
      </c>
      <c r="AD68" s="7">
        <f t="shared" si="96"/>
        <v>-2.469577666428052</v>
      </c>
      <c r="AE68" s="10" t="s">
        <v>1</v>
      </c>
      <c r="AF68" s="7">
        <f t="shared" si="97"/>
        <v>3.271836264053041</v>
      </c>
      <c r="AG68" s="7"/>
      <c r="AH68" s="5">
        <f>AH67+AH66</f>
        <v>557</v>
      </c>
      <c r="AI68" s="10" t="s">
        <v>1</v>
      </c>
      <c r="AJ68" s="8">
        <f>AJ67+AJ66</f>
        <v>70500</v>
      </c>
      <c r="AK68" s="7">
        <f t="shared" si="98"/>
        <v>104.40366972477064</v>
      </c>
      <c r="AL68" s="10" t="s">
        <v>1</v>
      </c>
      <c r="AM68" s="7">
        <f t="shared" si="99"/>
        <v>-1.6050244242847174</v>
      </c>
      <c r="AN68" s="7"/>
      <c r="AO68" s="5">
        <f>AO67+AO66</f>
        <v>624</v>
      </c>
      <c r="AP68" s="10" t="s">
        <v>1</v>
      </c>
      <c r="AQ68" s="8">
        <f>AQ67+AQ66</f>
        <v>81030</v>
      </c>
      <c r="AR68" s="7">
        <f t="shared" si="100"/>
        <v>12.028725314183124</v>
      </c>
      <c r="AS68" s="10" t="s">
        <v>1</v>
      </c>
      <c r="AT68" s="7">
        <f t="shared" si="101"/>
        <v>14.936170212765957</v>
      </c>
      <c r="AU68" s="7"/>
      <c r="AV68" s="5">
        <f>AV67+AV66</f>
        <v>801</v>
      </c>
      <c r="AW68" s="10" t="s">
        <v>1</v>
      </c>
      <c r="AX68" s="8">
        <f>AX67+AX66</f>
        <v>67890</v>
      </c>
      <c r="AY68" s="7">
        <f t="shared" si="102"/>
        <v>28.365384615384617</v>
      </c>
      <c r="AZ68" s="10" t="s">
        <v>1</v>
      </c>
      <c r="BA68" s="7">
        <f t="shared" si="103"/>
        <v>-16.216216216216218</v>
      </c>
      <c r="BB68" s="7"/>
      <c r="BC68" s="5">
        <f>BC67+BC66</f>
        <v>599</v>
      </c>
      <c r="BD68" s="10" t="s">
        <v>1</v>
      </c>
      <c r="BE68" s="8">
        <f>BE67+BE66</f>
        <v>65500</v>
      </c>
      <c r="BF68" s="7">
        <f t="shared" si="104"/>
        <v>-25.21847690387016</v>
      </c>
      <c r="BG68" s="10" t="s">
        <v>1</v>
      </c>
      <c r="BH68" s="7">
        <f t="shared" si="105"/>
        <v>-3.5204006481072323</v>
      </c>
      <c r="BI68" s="7"/>
      <c r="BJ68" s="5">
        <f>BJ67+BJ66</f>
        <v>247</v>
      </c>
      <c r="BK68" s="10" t="s">
        <v>1</v>
      </c>
      <c r="BL68" s="8">
        <f>BL67+BL66</f>
        <v>62300</v>
      </c>
      <c r="BM68" s="7">
        <f t="shared" si="106"/>
        <v>-58.764607679465776</v>
      </c>
      <c r="BN68" s="10" t="s">
        <v>1</v>
      </c>
      <c r="BO68" s="7">
        <f t="shared" si="107"/>
        <v>-4.885496183206107</v>
      </c>
      <c r="BP68" s="7"/>
      <c r="BQ68" s="5">
        <f>BQ67+BQ66</f>
        <v>248</v>
      </c>
      <c r="BR68" s="10" t="s">
        <v>1</v>
      </c>
      <c r="BS68" s="8">
        <f>BS67+BS66</f>
        <v>63480</v>
      </c>
      <c r="BT68" s="7">
        <f t="shared" si="108"/>
        <v>0.4048582995951417</v>
      </c>
      <c r="BU68" s="10" t="s">
        <v>1</v>
      </c>
      <c r="BV68" s="7">
        <f t="shared" si="109"/>
        <v>1.8940609951845906</v>
      </c>
    </row>
    <row r="69" spans="1:74" ht="12">
      <c r="A69" s="1" t="s">
        <v>61</v>
      </c>
      <c r="B69" s="5">
        <v>536</v>
      </c>
      <c r="C69" s="7">
        <v>222.6</v>
      </c>
      <c r="D69" s="8">
        <v>116600</v>
      </c>
      <c r="E69" s="8"/>
      <c r="F69" s="5">
        <v>547</v>
      </c>
      <c r="G69" s="7">
        <v>229.6</v>
      </c>
      <c r="H69" s="8">
        <v>120500</v>
      </c>
      <c r="I69" s="7">
        <f t="shared" si="91"/>
        <v>2.0522388059701493</v>
      </c>
      <c r="J69" s="7">
        <f>G69*100/C69-100</f>
        <v>3.1446540880503147</v>
      </c>
      <c r="K69" s="7">
        <f t="shared" si="92"/>
        <v>3.3447684391080617</v>
      </c>
      <c r="L69" s="7"/>
      <c r="M69" s="5">
        <v>541</v>
      </c>
      <c r="N69" s="7">
        <v>231.7</v>
      </c>
      <c r="O69" s="8">
        <v>122200</v>
      </c>
      <c r="P69" s="7">
        <f t="shared" si="110"/>
        <v>-1.0968921389396709</v>
      </c>
      <c r="Q69" s="7">
        <f>N69*100/G69-100</f>
        <v>0.914634146341461</v>
      </c>
      <c r="R69" s="7">
        <f t="shared" si="111"/>
        <v>1.4107883817427387</v>
      </c>
      <c r="S69" s="7"/>
      <c r="T69" s="5">
        <v>578</v>
      </c>
      <c r="U69" s="7">
        <v>226.9</v>
      </c>
      <c r="V69" s="8">
        <v>127400</v>
      </c>
      <c r="W69" s="7">
        <f t="shared" si="94"/>
        <v>6.839186691312385</v>
      </c>
      <c r="X69" s="7">
        <f>U69*100/N69-100</f>
        <v>-2.071644367716868</v>
      </c>
      <c r="Y69" s="7">
        <f t="shared" si="95"/>
        <v>4.25531914893617</v>
      </c>
      <c r="Z69" s="7"/>
      <c r="AA69" s="5">
        <v>588</v>
      </c>
      <c r="AB69" s="7">
        <v>238.1</v>
      </c>
      <c r="AC69" s="8">
        <v>137000</v>
      </c>
      <c r="AD69" s="7">
        <f t="shared" si="96"/>
        <v>1.7301038062283738</v>
      </c>
      <c r="AE69" s="7">
        <f>AB69*100/U69-100</f>
        <v>4.936095196121634</v>
      </c>
      <c r="AF69" s="7">
        <f t="shared" si="97"/>
        <v>7.535321821036106</v>
      </c>
      <c r="AG69" s="7"/>
      <c r="AH69" s="5">
        <v>616</v>
      </c>
      <c r="AI69" s="7">
        <v>244.8</v>
      </c>
      <c r="AJ69" s="8">
        <v>148000</v>
      </c>
      <c r="AK69" s="7">
        <f t="shared" si="98"/>
        <v>4.761904761904762</v>
      </c>
      <c r="AL69" s="7">
        <f>AI69*100/AB69-100</f>
        <v>2.8139437211255847</v>
      </c>
      <c r="AM69" s="7">
        <f t="shared" si="99"/>
        <v>8.02919708029197</v>
      </c>
      <c r="AN69" s="7"/>
      <c r="AO69" s="5">
        <v>603</v>
      </c>
      <c r="AP69" s="7">
        <v>249.6</v>
      </c>
      <c r="AQ69" s="8">
        <v>147900</v>
      </c>
      <c r="AR69" s="7">
        <f t="shared" si="100"/>
        <v>-2.1103896103896105</v>
      </c>
      <c r="AS69" s="7">
        <f>AP69*100/AI69-100</f>
        <v>1.9607843137254832</v>
      </c>
      <c r="AT69" s="7">
        <f t="shared" si="101"/>
        <v>-0.06756756756756757</v>
      </c>
      <c r="AU69" s="7"/>
      <c r="AV69" s="5">
        <v>580</v>
      </c>
      <c r="AW69" s="7">
        <v>242.9</v>
      </c>
      <c r="AX69" s="8">
        <v>138400</v>
      </c>
      <c r="AY69" s="7">
        <f t="shared" si="102"/>
        <v>-3.814262023217247</v>
      </c>
      <c r="AZ69" s="7">
        <f>AW69*100/AP69-100</f>
        <v>-2.6842948717948674</v>
      </c>
      <c r="BA69" s="7">
        <f t="shared" si="103"/>
        <v>-6.423258958755916</v>
      </c>
      <c r="BB69" s="7"/>
      <c r="BC69" s="5">
        <v>574</v>
      </c>
      <c r="BD69" s="7">
        <v>241.7</v>
      </c>
      <c r="BE69" s="8">
        <v>136200</v>
      </c>
      <c r="BF69" s="7">
        <f t="shared" si="104"/>
        <v>-1.0344827586206897</v>
      </c>
      <c r="BG69" s="7">
        <f>BD69*100/AW69-100</f>
        <v>-0.4940304652120284</v>
      </c>
      <c r="BH69" s="7">
        <f t="shared" si="105"/>
        <v>-1.5895953757225434</v>
      </c>
      <c r="BI69" s="7"/>
      <c r="BJ69" s="5">
        <v>606</v>
      </c>
      <c r="BK69" s="7">
        <v>235.8</v>
      </c>
      <c r="BL69" s="8">
        <v>139900</v>
      </c>
      <c r="BM69" s="7">
        <f t="shared" si="106"/>
        <v>5.574912891986063</v>
      </c>
      <c r="BN69" s="7">
        <f>BK69*100/BD69-100</f>
        <v>-2.441042614811741</v>
      </c>
      <c r="BO69" s="7">
        <f t="shared" si="107"/>
        <v>2.7165932452276063</v>
      </c>
      <c r="BP69" s="7"/>
      <c r="BQ69" s="5">
        <v>613</v>
      </c>
      <c r="BR69" s="7">
        <v>242.1</v>
      </c>
      <c r="BS69" s="8">
        <v>145100</v>
      </c>
      <c r="BT69" s="7">
        <f t="shared" si="108"/>
        <v>1.155115511551155</v>
      </c>
      <c r="BU69" s="7">
        <f>BR69*100/BK69-100</f>
        <v>2.6717557251908324</v>
      </c>
      <c r="BV69" s="7">
        <f t="shared" si="109"/>
        <v>3.7169406719085063</v>
      </c>
    </row>
    <row r="70" spans="1:74" ht="12">
      <c r="A70" s="1" t="s">
        <v>62</v>
      </c>
      <c r="B70" s="12">
        <v>8.3</v>
      </c>
      <c r="C70" s="7">
        <f>2290/B70</f>
        <v>275.9036144578313</v>
      </c>
      <c r="D70" s="8">
        <v>2140</v>
      </c>
      <c r="E70" s="8"/>
      <c r="F70" s="12">
        <v>8.85</v>
      </c>
      <c r="G70" s="7">
        <f>3000/F70</f>
        <v>338.98305084745766</v>
      </c>
      <c r="H70" s="8">
        <v>2670</v>
      </c>
      <c r="I70" s="7">
        <f t="shared" si="91"/>
        <v>6.626506024096372</v>
      </c>
      <c r="J70" s="7">
        <f>G70*100/C70-100</f>
        <v>22.862852490563277</v>
      </c>
      <c r="K70" s="7">
        <f t="shared" si="92"/>
        <v>24.766355140186917</v>
      </c>
      <c r="L70" s="7"/>
      <c r="M70" s="12">
        <v>6.6</v>
      </c>
      <c r="N70" s="5">
        <f>2350/M70</f>
        <v>356.06060606060606</v>
      </c>
      <c r="O70" s="8">
        <v>2120</v>
      </c>
      <c r="P70" s="7">
        <f t="shared" si="110"/>
        <v>-25.423728813559322</v>
      </c>
      <c r="Q70" s="7">
        <f>N70*100/G70-100</f>
        <v>5.037878787878777</v>
      </c>
      <c r="R70" s="7">
        <f t="shared" si="111"/>
        <v>-20.59925093632959</v>
      </c>
      <c r="S70" s="7"/>
      <c r="T70" s="7">
        <v>7.7</v>
      </c>
      <c r="U70" s="7">
        <v>287</v>
      </c>
      <c r="V70" s="8">
        <v>2000</v>
      </c>
      <c r="W70" s="7">
        <f t="shared" si="94"/>
        <v>16.666666666666675</v>
      </c>
      <c r="X70" s="7">
        <f>U70*100/N70-100</f>
        <v>-19.395744680851063</v>
      </c>
      <c r="Y70" s="7">
        <f t="shared" si="95"/>
        <v>-5.660377358490566</v>
      </c>
      <c r="Z70" s="7"/>
      <c r="AA70" s="5">
        <v>8</v>
      </c>
      <c r="AB70" s="7">
        <v>331.3</v>
      </c>
      <c r="AC70" s="8">
        <v>2280</v>
      </c>
      <c r="AD70" s="7">
        <f t="shared" si="96"/>
        <v>3.896103896103894</v>
      </c>
      <c r="AE70" s="7">
        <f>AB70*100/U70-100</f>
        <v>15.435540069686414</v>
      </c>
      <c r="AF70" s="7">
        <f t="shared" si="97"/>
        <v>14</v>
      </c>
      <c r="AG70" s="7"/>
      <c r="AH70" s="5">
        <v>1100</v>
      </c>
      <c r="AI70" s="7">
        <v>336.4</v>
      </c>
      <c r="AJ70" s="8">
        <v>3360</v>
      </c>
      <c r="AK70" s="7">
        <f t="shared" si="98"/>
        <v>13650</v>
      </c>
      <c r="AL70" s="7">
        <f>AI70*100/AB70-100</f>
        <v>1.539390280712335</v>
      </c>
      <c r="AM70" s="7">
        <f t="shared" si="99"/>
        <v>47.36842105263158</v>
      </c>
      <c r="AN70" s="7"/>
      <c r="AO70" s="5">
        <v>1600</v>
      </c>
      <c r="AP70" s="7">
        <v>312.5</v>
      </c>
      <c r="AQ70" s="8">
        <v>4580</v>
      </c>
      <c r="AR70" s="7">
        <f t="shared" si="100"/>
        <v>45.45454545454545</v>
      </c>
      <c r="AS70" s="7">
        <f>AP70*100/AI70-100</f>
        <v>-7.1046373365041555</v>
      </c>
      <c r="AT70" s="7">
        <f t="shared" si="101"/>
        <v>36.30952380952381</v>
      </c>
      <c r="AU70" s="7"/>
      <c r="AV70" s="5">
        <v>1530</v>
      </c>
      <c r="AW70" s="7">
        <v>323.5</v>
      </c>
      <c r="AX70" s="8">
        <v>4500</v>
      </c>
      <c r="AY70" s="7">
        <f t="shared" si="102"/>
        <v>-4.375</v>
      </c>
      <c r="AZ70" s="7">
        <f>AW70*100/AP70-100</f>
        <v>3.52</v>
      </c>
      <c r="BA70" s="7">
        <f t="shared" si="103"/>
        <v>-1.7467248908296944</v>
      </c>
      <c r="BB70" s="7"/>
      <c r="BC70" s="5">
        <v>1515</v>
      </c>
      <c r="BD70" s="7">
        <v>324.8</v>
      </c>
      <c r="BE70" s="8">
        <v>4370</v>
      </c>
      <c r="BF70" s="7">
        <f t="shared" si="104"/>
        <v>-0.9803921568627451</v>
      </c>
      <c r="BG70" s="7">
        <f>BD70*100/AW70-100</f>
        <v>0.4018547140649185</v>
      </c>
      <c r="BH70" s="7">
        <f t="shared" si="105"/>
        <v>-2.888888888888889</v>
      </c>
      <c r="BI70" s="7"/>
      <c r="BJ70" s="12">
        <v>13.68</v>
      </c>
      <c r="BK70" s="7">
        <v>314.2</v>
      </c>
      <c r="BL70" s="8">
        <v>4298</v>
      </c>
      <c r="BM70" s="7">
        <f t="shared" si="106"/>
        <v>-99.0970297029703</v>
      </c>
      <c r="BN70" s="7">
        <f>BK70*100/BD70-100</f>
        <v>-3.2635467980295636</v>
      </c>
      <c r="BO70" s="7">
        <f t="shared" si="107"/>
        <v>-1.6475972540045767</v>
      </c>
      <c r="BP70" s="7"/>
      <c r="BQ70" s="12">
        <v>18.75</v>
      </c>
      <c r="BR70" s="7">
        <v>315.5</v>
      </c>
      <c r="BS70" s="8">
        <v>5911</v>
      </c>
      <c r="BT70" s="7">
        <f t="shared" si="108"/>
        <v>37.06140350877193</v>
      </c>
      <c r="BU70" s="7">
        <f>BR70*100/BK70-100</f>
        <v>0.41374920432845685</v>
      </c>
      <c r="BV70" s="7">
        <f t="shared" si="109"/>
        <v>37.529083294555605</v>
      </c>
    </row>
    <row r="71" spans="1:74" ht="12">
      <c r="A71" s="1" t="s">
        <v>8</v>
      </c>
      <c r="B71" s="5">
        <f>B70+B69</f>
        <v>544.3</v>
      </c>
      <c r="C71" s="10" t="s">
        <v>1</v>
      </c>
      <c r="D71" s="8">
        <f>D70+D69</f>
        <v>118740</v>
      </c>
      <c r="E71" s="8"/>
      <c r="F71" s="5">
        <f>F70+F69</f>
        <v>555.85</v>
      </c>
      <c r="G71" s="10" t="s">
        <v>1</v>
      </c>
      <c r="H71" s="8">
        <f>H70+H69</f>
        <v>123170</v>
      </c>
      <c r="I71" s="7">
        <f t="shared" si="91"/>
        <v>2.12199154877826</v>
      </c>
      <c r="J71" s="10" t="s">
        <v>1</v>
      </c>
      <c r="K71" s="7">
        <f t="shared" si="92"/>
        <v>3.730840491830891</v>
      </c>
      <c r="L71" s="7"/>
      <c r="M71" s="5">
        <f>M70+M69</f>
        <v>547.6</v>
      </c>
      <c r="N71" s="6" t="s">
        <v>1</v>
      </c>
      <c r="O71" s="8">
        <f>O70+O69</f>
        <v>124320</v>
      </c>
      <c r="P71" s="7">
        <f t="shared" si="110"/>
        <v>-1.4842133669155346</v>
      </c>
      <c r="Q71" s="10" t="s">
        <v>1</v>
      </c>
      <c r="R71" s="7">
        <f t="shared" si="111"/>
        <v>0.933668912884631</v>
      </c>
      <c r="S71" s="7"/>
      <c r="T71" s="5">
        <f>T70+T69</f>
        <v>585.7</v>
      </c>
      <c r="U71" s="6" t="s">
        <v>1</v>
      </c>
      <c r="V71" s="8">
        <f>V70+V69</f>
        <v>129400</v>
      </c>
      <c r="W71" s="7">
        <f t="shared" si="94"/>
        <v>6.957633308984664</v>
      </c>
      <c r="X71" s="10" t="s">
        <v>1</v>
      </c>
      <c r="Y71" s="7">
        <f t="shared" si="95"/>
        <v>4.086229086229086</v>
      </c>
      <c r="Z71" s="7"/>
      <c r="AA71" s="5">
        <f>AA70+AA69</f>
        <v>596</v>
      </c>
      <c r="AB71" s="6" t="s">
        <v>1</v>
      </c>
      <c r="AC71" s="8">
        <f>AC70+AC69</f>
        <v>139280</v>
      </c>
      <c r="AD71" s="7">
        <f t="shared" si="96"/>
        <v>1.758579477548225</v>
      </c>
      <c r="AE71" s="10" t="s">
        <v>1</v>
      </c>
      <c r="AF71" s="7">
        <f t="shared" si="97"/>
        <v>7.635239567233385</v>
      </c>
      <c r="AG71" s="7"/>
      <c r="AH71" s="5">
        <f>AH70+AH69</f>
        <v>1716</v>
      </c>
      <c r="AI71" s="10" t="s">
        <v>1</v>
      </c>
      <c r="AJ71" s="8">
        <f>AJ70+AJ69</f>
        <v>151360</v>
      </c>
      <c r="AK71" s="7">
        <f t="shared" si="98"/>
        <v>187.91946308724832</v>
      </c>
      <c r="AL71" s="10" t="s">
        <v>1</v>
      </c>
      <c r="AM71" s="7">
        <f t="shared" si="99"/>
        <v>8.673176335439402</v>
      </c>
      <c r="AN71" s="7"/>
      <c r="AO71" s="5">
        <f>AO70+AO69</f>
        <v>2203</v>
      </c>
      <c r="AP71" s="10" t="s">
        <v>1</v>
      </c>
      <c r="AQ71" s="8">
        <f>AQ70+AQ69</f>
        <v>152480</v>
      </c>
      <c r="AR71" s="7">
        <f t="shared" si="100"/>
        <v>28.37995337995338</v>
      </c>
      <c r="AS71" s="10" t="s">
        <v>1</v>
      </c>
      <c r="AT71" s="7">
        <f t="shared" si="101"/>
        <v>0.7399577167019028</v>
      </c>
      <c r="AU71" s="7"/>
      <c r="AV71" s="5">
        <f>AV70+AV69</f>
        <v>2110</v>
      </c>
      <c r="AW71" s="10" t="s">
        <v>1</v>
      </c>
      <c r="AX71" s="8">
        <f>AX70+AX69</f>
        <v>142900</v>
      </c>
      <c r="AY71" s="7">
        <f t="shared" si="102"/>
        <v>-4.221516114389469</v>
      </c>
      <c r="AZ71" s="10" t="s">
        <v>1</v>
      </c>
      <c r="BA71" s="7">
        <f t="shared" si="103"/>
        <v>-6.282791185729276</v>
      </c>
      <c r="BB71" s="7"/>
      <c r="BC71" s="5">
        <f>BC70+BC69</f>
        <v>2089</v>
      </c>
      <c r="BD71" s="10" t="s">
        <v>1</v>
      </c>
      <c r="BE71" s="8">
        <f>BE70+BE69</f>
        <v>140570</v>
      </c>
      <c r="BF71" s="7">
        <f t="shared" si="104"/>
        <v>-0.995260663507109</v>
      </c>
      <c r="BG71" s="10" t="s">
        <v>1</v>
      </c>
      <c r="BH71" s="7">
        <f t="shared" si="105"/>
        <v>-1.6305108467459761</v>
      </c>
      <c r="BI71" s="7"/>
      <c r="BJ71" s="5">
        <f>BJ70+BJ69</f>
        <v>619.68</v>
      </c>
      <c r="BK71" s="10" t="s">
        <v>1</v>
      </c>
      <c r="BL71" s="8">
        <f>BL70+BL69</f>
        <v>144198</v>
      </c>
      <c r="BM71" s="7">
        <f t="shared" si="106"/>
        <v>-70.33604595500239</v>
      </c>
      <c r="BN71" s="10" t="s">
        <v>1</v>
      </c>
      <c r="BO71" s="7">
        <f t="shared" si="107"/>
        <v>2.5809205378103437</v>
      </c>
      <c r="BP71" s="7"/>
      <c r="BQ71" s="5">
        <f>BQ70+BQ69</f>
        <v>631.75</v>
      </c>
      <c r="BR71" s="10" t="s">
        <v>1</v>
      </c>
      <c r="BS71" s="8">
        <f>BS70+BS69</f>
        <v>151011</v>
      </c>
      <c r="BT71" s="7">
        <f t="shared" si="108"/>
        <v>1.947779499096316</v>
      </c>
      <c r="BU71" s="10" t="s">
        <v>1</v>
      </c>
      <c r="BV71" s="7">
        <f t="shared" si="109"/>
        <v>4.7247534639870175</v>
      </c>
    </row>
    <row r="72" spans="1:74" ht="12">
      <c r="A72" s="1" t="s">
        <v>63</v>
      </c>
      <c r="B72" s="5">
        <v>276</v>
      </c>
      <c r="C72" s="7">
        <v>210.7</v>
      </c>
      <c r="D72" s="8">
        <v>55300</v>
      </c>
      <c r="E72" s="8"/>
      <c r="F72" s="5">
        <v>256</v>
      </c>
      <c r="G72" s="7">
        <v>212.7</v>
      </c>
      <c r="H72" s="8">
        <v>53200</v>
      </c>
      <c r="I72" s="7">
        <f t="shared" si="91"/>
        <v>-7.246376811594203</v>
      </c>
      <c r="J72" s="7">
        <f>G72*100/C72-100</f>
        <v>0.9492168960607499</v>
      </c>
      <c r="K72" s="7">
        <f t="shared" si="92"/>
        <v>-3.7974683544303796</v>
      </c>
      <c r="L72" s="7"/>
      <c r="M72" s="5">
        <v>273</v>
      </c>
      <c r="N72" s="7">
        <v>217.4</v>
      </c>
      <c r="O72" s="8">
        <v>57600</v>
      </c>
      <c r="P72" s="7">
        <f t="shared" si="110"/>
        <v>6.640625</v>
      </c>
      <c r="Q72" s="7">
        <f>N72*100/G72-100</f>
        <v>2.209685002350737</v>
      </c>
      <c r="R72" s="7">
        <f t="shared" si="111"/>
        <v>8.270676691729323</v>
      </c>
      <c r="S72" s="7"/>
      <c r="T72" s="5">
        <v>256</v>
      </c>
      <c r="U72" s="7">
        <v>222.1</v>
      </c>
      <c r="V72" s="8">
        <v>55200</v>
      </c>
      <c r="W72" s="7">
        <f t="shared" si="94"/>
        <v>-6.227106227106227</v>
      </c>
      <c r="X72" s="7">
        <f>U72*100/N72-100</f>
        <v>2.1619135234590563</v>
      </c>
      <c r="Y72" s="7">
        <f t="shared" si="95"/>
        <v>-4.166666666666667</v>
      </c>
      <c r="Z72" s="7"/>
      <c r="AA72" s="5">
        <v>261</v>
      </c>
      <c r="AB72" s="7">
        <v>231</v>
      </c>
      <c r="AC72" s="8">
        <v>59300</v>
      </c>
      <c r="AD72" s="7">
        <f t="shared" si="96"/>
        <v>1.953125</v>
      </c>
      <c r="AE72" s="7">
        <f>AB72*100/U72-100</f>
        <v>4.007203962179201</v>
      </c>
      <c r="AF72" s="7">
        <f t="shared" si="97"/>
        <v>7.427536231884058</v>
      </c>
      <c r="AG72" s="7"/>
      <c r="AH72" s="5">
        <v>240</v>
      </c>
      <c r="AI72" s="7">
        <v>232.1</v>
      </c>
      <c r="AJ72" s="8">
        <v>55600</v>
      </c>
      <c r="AK72" s="7">
        <f t="shared" si="98"/>
        <v>-8.045977011494253</v>
      </c>
      <c r="AL72" s="7">
        <f>AI72*100/AB72-100</f>
        <v>0.4761904761904737</v>
      </c>
      <c r="AM72" s="7">
        <f t="shared" si="99"/>
        <v>-6.239460370994941</v>
      </c>
      <c r="AN72" s="7"/>
      <c r="AO72" s="5">
        <v>216</v>
      </c>
      <c r="AP72" s="7">
        <v>240.3</v>
      </c>
      <c r="AQ72" s="8">
        <v>51800</v>
      </c>
      <c r="AR72" s="7">
        <f t="shared" si="100"/>
        <v>-10</v>
      </c>
      <c r="AS72" s="7">
        <f>AP72*100/AI72-100</f>
        <v>3.532959931064204</v>
      </c>
      <c r="AT72" s="7">
        <f t="shared" si="101"/>
        <v>-6.83453237410072</v>
      </c>
      <c r="AU72" s="7"/>
      <c r="AV72" s="5">
        <v>214</v>
      </c>
      <c r="AW72" s="7">
        <v>230.8</v>
      </c>
      <c r="AX72" s="8">
        <v>49400</v>
      </c>
      <c r="AY72" s="7">
        <f t="shared" si="102"/>
        <v>-0.9259259259259259</v>
      </c>
      <c r="AZ72" s="7">
        <f>AW72*100/AP72-100</f>
        <v>-3.953391593841032</v>
      </c>
      <c r="BA72" s="7">
        <f t="shared" si="103"/>
        <v>-4.633204633204633</v>
      </c>
      <c r="BB72" s="7"/>
      <c r="BC72" s="5">
        <v>194</v>
      </c>
      <c r="BD72" s="7">
        <v>240.5</v>
      </c>
      <c r="BE72" s="8">
        <v>46700</v>
      </c>
      <c r="BF72" s="7">
        <f t="shared" si="104"/>
        <v>-9.345794392523365</v>
      </c>
      <c r="BG72" s="7">
        <f>BD72*100/AW72-100</f>
        <v>4.202772963604848</v>
      </c>
      <c r="BH72" s="7">
        <f t="shared" si="105"/>
        <v>-5.465587044534413</v>
      </c>
      <c r="BI72" s="7"/>
      <c r="BJ72" s="5">
        <v>184</v>
      </c>
      <c r="BK72" s="7">
        <v>255.1</v>
      </c>
      <c r="BL72" s="8">
        <v>46900</v>
      </c>
      <c r="BM72" s="7">
        <f t="shared" si="106"/>
        <v>-5.154639175257732</v>
      </c>
      <c r="BN72" s="7">
        <f>BK72*100/BD72-100</f>
        <v>6.070686070686068</v>
      </c>
      <c r="BO72" s="7">
        <f t="shared" si="107"/>
        <v>0.4282655246252677</v>
      </c>
      <c r="BP72" s="7"/>
      <c r="BQ72" s="5">
        <v>155</v>
      </c>
      <c r="BR72" s="7">
        <v>250.3</v>
      </c>
      <c r="BS72" s="8">
        <v>38800</v>
      </c>
      <c r="BT72" s="7">
        <f t="shared" si="108"/>
        <v>-15.76086956521739</v>
      </c>
      <c r="BU72" s="7">
        <f>BR72*100/BK72-100</f>
        <v>-1.8816150529204168</v>
      </c>
      <c r="BV72" s="7">
        <f t="shared" si="109"/>
        <v>-17.270788912579956</v>
      </c>
    </row>
    <row r="73" spans="1:74" ht="12">
      <c r="A73" s="1" t="s">
        <v>64</v>
      </c>
      <c r="B73" s="12">
        <v>19.8</v>
      </c>
      <c r="C73" s="7">
        <f>9010/B73</f>
        <v>455.050505050505</v>
      </c>
      <c r="D73" s="8">
        <v>8500</v>
      </c>
      <c r="E73" s="8"/>
      <c r="F73" s="12">
        <v>23.87</v>
      </c>
      <c r="G73" s="7">
        <f>11520/F73</f>
        <v>482.61416003351485</v>
      </c>
      <c r="H73" s="8">
        <v>10900</v>
      </c>
      <c r="I73" s="7">
        <f t="shared" si="91"/>
        <v>20.555555555555557</v>
      </c>
      <c r="J73" s="7">
        <f>G73*100/C73-100</f>
        <v>6.0572737920487745</v>
      </c>
      <c r="K73" s="7">
        <f t="shared" si="92"/>
        <v>28.235294117647058</v>
      </c>
      <c r="L73" s="7"/>
      <c r="M73" s="12">
        <v>22.67</v>
      </c>
      <c r="N73" s="5">
        <f>12070/M73</f>
        <v>532.4217026907808</v>
      </c>
      <c r="O73" s="8">
        <v>11500</v>
      </c>
      <c r="P73" s="7">
        <f t="shared" si="110"/>
        <v>-5.027230833682443</v>
      </c>
      <c r="Q73" s="7">
        <f>N73*100/G73-100</f>
        <v>10.320364958584525</v>
      </c>
      <c r="R73" s="7">
        <f t="shared" si="111"/>
        <v>5.504587155963303</v>
      </c>
      <c r="S73" s="7"/>
      <c r="T73" s="7">
        <v>19.4</v>
      </c>
      <c r="U73" s="7">
        <v>507.7</v>
      </c>
      <c r="V73" s="8">
        <v>9350</v>
      </c>
      <c r="W73" s="7">
        <f t="shared" si="94"/>
        <v>-14.424349360388192</v>
      </c>
      <c r="X73" s="7">
        <f>U73*100/N73-100</f>
        <v>-4.643256006628005</v>
      </c>
      <c r="Y73" s="7">
        <f t="shared" si="95"/>
        <v>-18.695652173913043</v>
      </c>
      <c r="Z73" s="7"/>
      <c r="AA73" s="7">
        <v>22.5</v>
      </c>
      <c r="AB73" s="7">
        <v>539.1</v>
      </c>
      <c r="AC73" s="8">
        <v>11070</v>
      </c>
      <c r="AD73" s="7">
        <f t="shared" si="96"/>
        <v>15.979381443298978</v>
      </c>
      <c r="AE73" s="7">
        <f>AB73*100/U73-100</f>
        <v>6.184754776442788</v>
      </c>
      <c r="AF73" s="7">
        <f t="shared" si="97"/>
        <v>18.39572192513369</v>
      </c>
      <c r="AG73" s="7"/>
      <c r="AH73" s="5">
        <v>2650</v>
      </c>
      <c r="AI73" s="7">
        <v>554</v>
      </c>
      <c r="AJ73" s="8">
        <v>13340</v>
      </c>
      <c r="AK73" s="7">
        <f t="shared" si="98"/>
        <v>11677.777777777777</v>
      </c>
      <c r="AL73" s="7">
        <f>AI73*100/AB73-100</f>
        <v>2.7638657020960817</v>
      </c>
      <c r="AM73" s="7">
        <f t="shared" si="99"/>
        <v>20.50587172538392</v>
      </c>
      <c r="AN73" s="7"/>
      <c r="AO73" s="5">
        <v>3050</v>
      </c>
      <c r="AP73" s="7">
        <v>568.9</v>
      </c>
      <c r="AQ73" s="8">
        <v>15740</v>
      </c>
      <c r="AR73" s="7">
        <f t="shared" si="100"/>
        <v>15.09433962264151</v>
      </c>
      <c r="AS73" s="7">
        <f>AP73*100/AI73-100</f>
        <v>2.6895306859205736</v>
      </c>
      <c r="AT73" s="7">
        <f t="shared" si="101"/>
        <v>17.991004497751124</v>
      </c>
      <c r="AU73" s="7"/>
      <c r="AV73" s="5">
        <v>2961</v>
      </c>
      <c r="AW73" s="7">
        <v>576.5</v>
      </c>
      <c r="AX73" s="8">
        <v>15420</v>
      </c>
      <c r="AY73" s="7">
        <f t="shared" si="102"/>
        <v>-2.918032786885246</v>
      </c>
      <c r="AZ73" s="7">
        <f>AW73*100/AP73-100</f>
        <v>1.335911407980317</v>
      </c>
      <c r="BA73" s="7">
        <f t="shared" si="103"/>
        <v>-2.0330368487928845</v>
      </c>
      <c r="BB73" s="7"/>
      <c r="BC73" s="5">
        <v>2947</v>
      </c>
      <c r="BD73" s="7">
        <v>576.2</v>
      </c>
      <c r="BE73" s="8">
        <v>15800</v>
      </c>
      <c r="BF73" s="7">
        <f t="shared" si="104"/>
        <v>-0.4728132387706856</v>
      </c>
      <c r="BG73" s="7">
        <f>BD73*100/AW73-100</f>
        <v>-0.0520381613182922</v>
      </c>
      <c r="BH73" s="7">
        <f t="shared" si="105"/>
        <v>2.4643320363164722</v>
      </c>
      <c r="BI73" s="7"/>
      <c r="BJ73" s="12">
        <v>29.5</v>
      </c>
      <c r="BK73" s="7">
        <v>576.8</v>
      </c>
      <c r="BL73" s="8">
        <v>16930</v>
      </c>
      <c r="BM73" s="7">
        <f t="shared" si="106"/>
        <v>-98.99898201560909</v>
      </c>
      <c r="BN73" s="7">
        <f>BK73*100/BD73-100</f>
        <v>0.10413051023948439</v>
      </c>
      <c r="BO73" s="7">
        <f t="shared" si="107"/>
        <v>7.151898734177215</v>
      </c>
      <c r="BP73" s="7"/>
      <c r="BQ73" s="5">
        <v>27</v>
      </c>
      <c r="BR73" s="7">
        <v>500.7</v>
      </c>
      <c r="BS73" s="8">
        <v>13445</v>
      </c>
      <c r="BT73" s="7">
        <f t="shared" si="108"/>
        <v>-8.474576271186441</v>
      </c>
      <c r="BU73" s="7">
        <f>BR73*100/BK73-100</f>
        <v>-13.193481276005542</v>
      </c>
      <c r="BV73" s="7">
        <f t="shared" si="109"/>
        <v>-20.58476077968104</v>
      </c>
    </row>
    <row r="74" spans="1:74" ht="12">
      <c r="A74" s="1" t="s">
        <v>8</v>
      </c>
      <c r="B74" s="5">
        <f>B73+B72</f>
        <v>295.8</v>
      </c>
      <c r="C74" s="10" t="s">
        <v>1</v>
      </c>
      <c r="D74" s="8">
        <f>D73+D72</f>
        <v>63800</v>
      </c>
      <c r="E74" s="8"/>
      <c r="F74" s="5">
        <f>F73+F72</f>
        <v>279.87</v>
      </c>
      <c r="G74" s="10" t="s">
        <v>1</v>
      </c>
      <c r="H74" s="8">
        <f>H73+H72</f>
        <v>64100</v>
      </c>
      <c r="I74" s="7">
        <f t="shared" si="91"/>
        <v>-5.3853955375253575</v>
      </c>
      <c r="J74" s="10" t="s">
        <v>1</v>
      </c>
      <c r="K74" s="7">
        <f t="shared" si="92"/>
        <v>0.4702194357366771</v>
      </c>
      <c r="L74" s="7"/>
      <c r="M74" s="5">
        <f>M73+M72</f>
        <v>295.67</v>
      </c>
      <c r="N74" s="6" t="s">
        <v>1</v>
      </c>
      <c r="O74" s="8">
        <f>O73+O72</f>
        <v>69100</v>
      </c>
      <c r="P74" s="7">
        <f t="shared" si="110"/>
        <v>5.645478257762536</v>
      </c>
      <c r="Q74" s="10" t="s">
        <v>1</v>
      </c>
      <c r="R74" s="7">
        <f t="shared" si="111"/>
        <v>7.800312012480499</v>
      </c>
      <c r="S74" s="7"/>
      <c r="T74" s="5">
        <f>T73+T72</f>
        <v>275.4</v>
      </c>
      <c r="U74" s="6" t="s">
        <v>1</v>
      </c>
      <c r="V74" s="8">
        <f>V73+V72</f>
        <v>64550</v>
      </c>
      <c r="W74" s="7">
        <f t="shared" si="94"/>
        <v>-6.855616058443548</v>
      </c>
      <c r="X74" s="10" t="s">
        <v>1</v>
      </c>
      <c r="Y74" s="7">
        <f t="shared" si="95"/>
        <v>-6.58465991316932</v>
      </c>
      <c r="Z74" s="7"/>
      <c r="AA74" s="5">
        <f>AA73+AA72</f>
        <v>283.5</v>
      </c>
      <c r="AB74" s="6" t="s">
        <v>1</v>
      </c>
      <c r="AC74" s="8">
        <f>AC73+AC72</f>
        <v>70370</v>
      </c>
      <c r="AD74" s="7">
        <f t="shared" si="96"/>
        <v>2.941176470588244</v>
      </c>
      <c r="AE74" s="10" t="s">
        <v>1</v>
      </c>
      <c r="AF74" s="7">
        <f t="shared" si="97"/>
        <v>9.016266460108444</v>
      </c>
      <c r="AG74" s="7"/>
      <c r="AH74" s="5">
        <f>AH73+AH72</f>
        <v>2890</v>
      </c>
      <c r="AI74" s="10" t="s">
        <v>1</v>
      </c>
      <c r="AJ74" s="8">
        <f>AJ73+AJ72</f>
        <v>68940</v>
      </c>
      <c r="AK74" s="7">
        <f t="shared" si="98"/>
        <v>919.4003527336861</v>
      </c>
      <c r="AL74" s="10" t="s">
        <v>1</v>
      </c>
      <c r="AM74" s="7">
        <f t="shared" si="99"/>
        <v>-2.032115958505045</v>
      </c>
      <c r="AN74" s="7"/>
      <c r="AO74" s="5">
        <f>AO73+AO72</f>
        <v>3266</v>
      </c>
      <c r="AP74" s="10" t="s">
        <v>1</v>
      </c>
      <c r="AQ74" s="8">
        <f>AQ73+AQ72</f>
        <v>67540</v>
      </c>
      <c r="AR74" s="7">
        <f t="shared" si="100"/>
        <v>13.01038062283737</v>
      </c>
      <c r="AS74" s="10" t="s">
        <v>1</v>
      </c>
      <c r="AT74" s="7">
        <f t="shared" si="101"/>
        <v>-2.030751378009864</v>
      </c>
      <c r="AU74" s="7"/>
      <c r="AV74" s="5">
        <f>AV73+AV72</f>
        <v>3175</v>
      </c>
      <c r="AW74" s="10" t="s">
        <v>1</v>
      </c>
      <c r="AX74" s="8">
        <f>AX73+AX72</f>
        <v>64820</v>
      </c>
      <c r="AY74" s="7">
        <f t="shared" si="102"/>
        <v>-2.7862829148805877</v>
      </c>
      <c r="AZ74" s="10" t="s">
        <v>1</v>
      </c>
      <c r="BA74" s="7">
        <f t="shared" si="103"/>
        <v>-4.0272431151909975</v>
      </c>
      <c r="BB74" s="7"/>
      <c r="BC74" s="5">
        <f>BC73+BC72</f>
        <v>3141</v>
      </c>
      <c r="BD74" s="10" t="s">
        <v>1</v>
      </c>
      <c r="BE74" s="8">
        <f>BE73+BE72</f>
        <v>62500</v>
      </c>
      <c r="BF74" s="7">
        <f t="shared" si="104"/>
        <v>-1.0708661417322836</v>
      </c>
      <c r="BG74" s="10" t="s">
        <v>1</v>
      </c>
      <c r="BH74" s="7">
        <f t="shared" si="105"/>
        <v>-3.5791422400493675</v>
      </c>
      <c r="BI74" s="7"/>
      <c r="BJ74" s="5">
        <f>BJ73+BJ72</f>
        <v>213.5</v>
      </c>
      <c r="BK74" s="10" t="s">
        <v>1</v>
      </c>
      <c r="BL74" s="8">
        <f>BL73+BL72</f>
        <v>63830</v>
      </c>
      <c r="BM74" s="7">
        <f t="shared" si="106"/>
        <v>-93.20280165552371</v>
      </c>
      <c r="BN74" s="10" t="s">
        <v>1</v>
      </c>
      <c r="BO74" s="7">
        <f t="shared" si="107"/>
        <v>2.128</v>
      </c>
      <c r="BP74" s="7"/>
      <c r="BQ74" s="5">
        <f>BQ73+BQ72</f>
        <v>182</v>
      </c>
      <c r="BR74" s="10" t="s">
        <v>1</v>
      </c>
      <c r="BS74" s="8">
        <f>BS73+BS72</f>
        <v>52245</v>
      </c>
      <c r="BT74" s="7">
        <f t="shared" si="108"/>
        <v>-14.754098360655737</v>
      </c>
      <c r="BU74" s="10" t="s">
        <v>1</v>
      </c>
      <c r="BV74" s="7">
        <f t="shared" si="109"/>
        <v>-18.14977283409055</v>
      </c>
    </row>
    <row r="75" spans="1:74" ht="12">
      <c r="A75" s="1" t="s">
        <v>65</v>
      </c>
      <c r="B75" s="5">
        <v>1007</v>
      </c>
      <c r="C75" s="7">
        <v>202.2</v>
      </c>
      <c r="D75" s="8">
        <v>192500</v>
      </c>
      <c r="E75" s="8"/>
      <c r="F75" s="5">
        <v>1132</v>
      </c>
      <c r="G75" s="7">
        <v>209.2</v>
      </c>
      <c r="H75" s="8">
        <v>219900</v>
      </c>
      <c r="I75" s="7">
        <f t="shared" si="91"/>
        <v>12.413108242303872</v>
      </c>
      <c r="J75" s="7">
        <f>G75*100/C75-100</f>
        <v>3.4619188921859547</v>
      </c>
      <c r="K75" s="7">
        <f t="shared" si="92"/>
        <v>14.233766233766234</v>
      </c>
      <c r="L75" s="7"/>
      <c r="M75" s="5">
        <v>1117</v>
      </c>
      <c r="N75" s="7">
        <v>257.2</v>
      </c>
      <c r="O75" s="8">
        <v>274700</v>
      </c>
      <c r="P75" s="7">
        <f t="shared" si="110"/>
        <v>-1.325088339222615</v>
      </c>
      <c r="Q75" s="7">
        <f>N75*100/G75-100</f>
        <v>22.944550669216063</v>
      </c>
      <c r="R75" s="7">
        <f t="shared" si="111"/>
        <v>24.920418371987267</v>
      </c>
      <c r="S75" s="7"/>
      <c r="T75" s="5">
        <v>1269</v>
      </c>
      <c r="U75" s="7">
        <v>239.4</v>
      </c>
      <c r="V75" s="8">
        <v>292800</v>
      </c>
      <c r="W75" s="7">
        <f t="shared" si="94"/>
        <v>13.60787824529991</v>
      </c>
      <c r="X75" s="7">
        <f>U75*100/N75-100</f>
        <v>-6.920684292379465</v>
      </c>
      <c r="Y75" s="7">
        <f t="shared" si="95"/>
        <v>6.589006188569348</v>
      </c>
      <c r="Z75" s="7"/>
      <c r="AA75" s="5">
        <v>1405</v>
      </c>
      <c r="AB75" s="7">
        <v>278.9</v>
      </c>
      <c r="AC75" s="8">
        <v>377900</v>
      </c>
      <c r="AD75" s="7">
        <f t="shared" si="96"/>
        <v>10.717100078802206</v>
      </c>
      <c r="AE75" s="7">
        <f>AB75*100/U75-100</f>
        <v>16.49958228905596</v>
      </c>
      <c r="AF75" s="7">
        <f t="shared" si="97"/>
        <v>29.064207650273225</v>
      </c>
      <c r="AG75" s="7"/>
      <c r="AH75" s="5">
        <v>1495</v>
      </c>
      <c r="AI75" s="7">
        <v>242.1</v>
      </c>
      <c r="AJ75" s="8">
        <v>349900</v>
      </c>
      <c r="AK75" s="7">
        <f t="shared" si="98"/>
        <v>6.405693950177936</v>
      </c>
      <c r="AL75" s="7">
        <f>AI75*100/AB75-100</f>
        <v>-13.194693438508422</v>
      </c>
      <c r="AM75" s="7">
        <f t="shared" si="99"/>
        <v>-7.4093675575549085</v>
      </c>
      <c r="AN75" s="7"/>
      <c r="AO75" s="5">
        <v>1555</v>
      </c>
      <c r="AP75" s="7">
        <v>286.4</v>
      </c>
      <c r="AQ75" s="8">
        <v>375200</v>
      </c>
      <c r="AR75" s="7">
        <f t="shared" si="100"/>
        <v>4.013377926421405</v>
      </c>
      <c r="AS75" s="7">
        <f>AP75*100/AI75-100</f>
        <v>18.298223874432047</v>
      </c>
      <c r="AT75" s="7">
        <f t="shared" si="101"/>
        <v>7.230637324949986</v>
      </c>
      <c r="AU75" s="7"/>
      <c r="AV75" s="5">
        <v>1495</v>
      </c>
      <c r="AW75" s="7">
        <v>284.6</v>
      </c>
      <c r="AX75" s="8">
        <v>410800</v>
      </c>
      <c r="AY75" s="7">
        <f t="shared" si="102"/>
        <v>-3.8585209003215435</v>
      </c>
      <c r="AZ75" s="7">
        <f>AW75*100/AP75-100</f>
        <v>-0.628491620111716</v>
      </c>
      <c r="BA75" s="7">
        <f t="shared" si="103"/>
        <v>9.488272921108742</v>
      </c>
      <c r="BB75" s="7"/>
      <c r="BC75" s="5">
        <v>1612</v>
      </c>
      <c r="BD75" s="7">
        <v>268.8</v>
      </c>
      <c r="BE75" s="8">
        <v>419900</v>
      </c>
      <c r="BF75" s="7">
        <f t="shared" si="104"/>
        <v>7.826086956521739</v>
      </c>
      <c r="BG75" s="7">
        <f>BD75*100/AW75-100</f>
        <v>-5.551651440618415</v>
      </c>
      <c r="BH75" s="7">
        <f t="shared" si="105"/>
        <v>2.2151898734177213</v>
      </c>
      <c r="BI75" s="7"/>
      <c r="BJ75" s="5">
        <v>1585</v>
      </c>
      <c r="BK75" s="7">
        <v>266.8</v>
      </c>
      <c r="BL75" s="8">
        <v>410300</v>
      </c>
      <c r="BM75" s="7">
        <f t="shared" si="106"/>
        <v>-1.6749379652605458</v>
      </c>
      <c r="BN75" s="7">
        <f>BK75*100/BD75-100</f>
        <v>-0.7440476190476191</v>
      </c>
      <c r="BO75" s="7">
        <f t="shared" si="107"/>
        <v>-2.286258633007859</v>
      </c>
      <c r="BP75" s="7"/>
      <c r="BQ75" s="5">
        <v>1536</v>
      </c>
      <c r="BR75" s="7">
        <v>267.8</v>
      </c>
      <c r="BS75" s="8">
        <v>399200</v>
      </c>
      <c r="BT75" s="7">
        <f t="shared" si="108"/>
        <v>-3.091482649842271</v>
      </c>
      <c r="BU75" s="7">
        <f>BR75*100/BK75-100</f>
        <v>0.3748125937031484</v>
      </c>
      <c r="BV75" s="7">
        <f t="shared" si="109"/>
        <v>-2.7053375578844747</v>
      </c>
    </row>
    <row r="76" spans="1:74" ht="12">
      <c r="A76" s="1" t="s">
        <v>66</v>
      </c>
      <c r="B76" s="12">
        <v>70.2</v>
      </c>
      <c r="C76" s="7">
        <f>19610/B76</f>
        <v>279.34472934472933</v>
      </c>
      <c r="D76" s="8">
        <v>18170</v>
      </c>
      <c r="E76" s="8"/>
      <c r="F76" s="12">
        <v>87.3</v>
      </c>
      <c r="G76" s="7">
        <f>26750/F76</f>
        <v>306.4146620847652</v>
      </c>
      <c r="H76" s="8">
        <v>25120</v>
      </c>
      <c r="I76" s="7">
        <f t="shared" si="91"/>
        <v>24.35897435897435</v>
      </c>
      <c r="J76" s="7">
        <f>G76*100/C76-100</f>
        <v>9.690511363337679</v>
      </c>
      <c r="K76" s="7">
        <f t="shared" si="92"/>
        <v>38.24986241056687</v>
      </c>
      <c r="L76" s="7"/>
      <c r="M76" s="12">
        <v>101.2</v>
      </c>
      <c r="N76" s="5">
        <f>30700/M76</f>
        <v>303.3596837944664</v>
      </c>
      <c r="O76" s="8">
        <v>28670</v>
      </c>
      <c r="P76" s="7">
        <f t="shared" si="110"/>
        <v>15.922107674685002</v>
      </c>
      <c r="Q76" s="7">
        <f>N76*100/G76-100</f>
        <v>-0.9970078681984605</v>
      </c>
      <c r="R76" s="7">
        <f t="shared" si="111"/>
        <v>14.132165605095542</v>
      </c>
      <c r="S76" s="7"/>
      <c r="T76" s="7">
        <v>119.4</v>
      </c>
      <c r="U76" s="7">
        <v>371.4</v>
      </c>
      <c r="V76" s="8">
        <v>40240</v>
      </c>
      <c r="W76" s="7">
        <f t="shared" si="94"/>
        <v>17.98418972332016</v>
      </c>
      <c r="X76" s="7">
        <f>U76*100/N76-100</f>
        <v>22.428925081433228</v>
      </c>
      <c r="Y76" s="7">
        <f t="shared" si="95"/>
        <v>40.355772584583185</v>
      </c>
      <c r="Z76" s="7"/>
      <c r="AA76" s="7">
        <v>168.9</v>
      </c>
      <c r="AB76" s="7">
        <v>387.8</v>
      </c>
      <c r="AC76" s="8">
        <v>60910</v>
      </c>
      <c r="AD76" s="7">
        <f t="shared" si="96"/>
        <v>41.4572864321608</v>
      </c>
      <c r="AE76" s="7">
        <f>AB76*100/U76-100</f>
        <v>4.415724286483585</v>
      </c>
      <c r="AF76" s="7">
        <f t="shared" si="97"/>
        <v>51.366799204771375</v>
      </c>
      <c r="AG76" s="7"/>
      <c r="AH76" s="5">
        <v>19440</v>
      </c>
      <c r="AI76" s="7">
        <v>272.8</v>
      </c>
      <c r="AJ76" s="8">
        <v>49260</v>
      </c>
      <c r="AK76" s="7">
        <f t="shared" si="98"/>
        <v>11409.769094138543</v>
      </c>
      <c r="AL76" s="7">
        <f>AI76*100/AB76-100</f>
        <v>-29.6544610624033</v>
      </c>
      <c r="AM76" s="7">
        <f t="shared" si="99"/>
        <v>-19.126580200295518</v>
      </c>
      <c r="AN76" s="7"/>
      <c r="AO76" s="5">
        <v>19040</v>
      </c>
      <c r="AP76" s="7">
        <v>300.5</v>
      </c>
      <c r="AQ76" s="8">
        <v>51290</v>
      </c>
      <c r="AR76" s="7">
        <f t="shared" si="100"/>
        <v>-2.05761316872428</v>
      </c>
      <c r="AS76" s="7">
        <f>AP76*100/AI76-100</f>
        <v>10.15395894428152</v>
      </c>
      <c r="AT76" s="7">
        <f t="shared" si="101"/>
        <v>4.1209906617945595</v>
      </c>
      <c r="AU76" s="7"/>
      <c r="AV76" s="5">
        <v>15749</v>
      </c>
      <c r="AW76" s="7">
        <v>334.3</v>
      </c>
      <c r="AX76" s="8">
        <v>49180</v>
      </c>
      <c r="AY76" s="7">
        <f t="shared" si="102"/>
        <v>-17.284663865546218</v>
      </c>
      <c r="AZ76" s="7">
        <f>AW76*100/AP76-100</f>
        <v>11.247920133111485</v>
      </c>
      <c r="BA76" s="7">
        <f t="shared" si="103"/>
        <v>-4.113862351335543</v>
      </c>
      <c r="BB76" s="7"/>
      <c r="BC76" s="5">
        <v>17090</v>
      </c>
      <c r="BD76" s="7">
        <v>327.3</v>
      </c>
      <c r="BE76" s="8">
        <v>52240</v>
      </c>
      <c r="BF76" s="7">
        <f t="shared" si="104"/>
        <v>8.514826338180201</v>
      </c>
      <c r="BG76" s="7">
        <f>BD76*100/AW76-100</f>
        <v>-2.0939276099311996</v>
      </c>
      <c r="BH76" s="7">
        <f t="shared" si="105"/>
        <v>6.222041480276535</v>
      </c>
      <c r="BI76" s="7"/>
      <c r="BJ76" s="12">
        <v>188.45</v>
      </c>
      <c r="BK76" s="7">
        <v>305.5</v>
      </c>
      <c r="BL76" s="8">
        <v>56392</v>
      </c>
      <c r="BM76" s="7">
        <f t="shared" si="106"/>
        <v>-98.89730836746635</v>
      </c>
      <c r="BN76" s="7">
        <f>BK76*100/BD76-100</f>
        <v>-6.660556064772384</v>
      </c>
      <c r="BO76" s="7">
        <f t="shared" si="107"/>
        <v>7.9479326186830015</v>
      </c>
      <c r="BP76" s="7"/>
      <c r="BQ76" s="12">
        <v>216.15</v>
      </c>
      <c r="BR76" s="7">
        <v>291.4</v>
      </c>
      <c r="BS76" s="8">
        <v>61618</v>
      </c>
      <c r="BT76" s="7">
        <f t="shared" si="108"/>
        <v>14.698859113823305</v>
      </c>
      <c r="BU76" s="7">
        <f>BR76*100/BK76-100</f>
        <v>-4.615384615384623</v>
      </c>
      <c r="BV76" s="7">
        <f t="shared" si="109"/>
        <v>9.267271953468578</v>
      </c>
    </row>
    <row r="77" spans="1:74" ht="12">
      <c r="A77" s="1" t="s">
        <v>8</v>
      </c>
      <c r="B77" s="5">
        <f>B75+B76</f>
        <v>1077.2</v>
      </c>
      <c r="C77" s="10" t="s">
        <v>1</v>
      </c>
      <c r="D77" s="8">
        <f>D76+D75</f>
        <v>210670</v>
      </c>
      <c r="E77" s="8"/>
      <c r="F77" s="5">
        <f>F76+F75</f>
        <v>1219.3</v>
      </c>
      <c r="G77" s="10" t="s">
        <v>1</v>
      </c>
      <c r="H77" s="8">
        <f>H76+H75</f>
        <v>245020</v>
      </c>
      <c r="I77" s="7">
        <f t="shared" si="91"/>
        <v>13.19160787226141</v>
      </c>
      <c r="J77" s="10" t="s">
        <v>1</v>
      </c>
      <c r="K77" s="7">
        <f t="shared" si="92"/>
        <v>16.30512175440262</v>
      </c>
      <c r="L77" s="7"/>
      <c r="M77" s="5">
        <f>M76+M75</f>
        <v>1218.2</v>
      </c>
      <c r="N77" s="6" t="s">
        <v>1</v>
      </c>
      <c r="O77" s="8">
        <f>O76+O75</f>
        <v>303370</v>
      </c>
      <c r="P77" s="7">
        <f t="shared" si="110"/>
        <v>-0.090215697531363</v>
      </c>
      <c r="Q77" s="10" t="s">
        <v>1</v>
      </c>
      <c r="R77" s="7">
        <f t="shared" si="111"/>
        <v>23.814382499387804</v>
      </c>
      <c r="S77" s="7"/>
      <c r="T77" s="5">
        <f>T76+T75</f>
        <v>1388.4</v>
      </c>
      <c r="U77" s="6" t="s">
        <v>1</v>
      </c>
      <c r="V77" s="8">
        <f>V76+V75</f>
        <v>333040</v>
      </c>
      <c r="W77" s="7">
        <f t="shared" si="94"/>
        <v>13.97143326219012</v>
      </c>
      <c r="X77" s="10" t="s">
        <v>1</v>
      </c>
      <c r="Y77" s="7">
        <f t="shared" si="95"/>
        <v>9.780136467020471</v>
      </c>
      <c r="Z77" s="7"/>
      <c r="AA77" s="5">
        <f>AA76+AA75</f>
        <v>1573.9</v>
      </c>
      <c r="AB77" s="6" t="s">
        <v>1</v>
      </c>
      <c r="AC77" s="8">
        <f>AC76+AC75</f>
        <v>438810</v>
      </c>
      <c r="AD77" s="7">
        <f t="shared" si="96"/>
        <v>13.36070296744454</v>
      </c>
      <c r="AE77" s="10" t="s">
        <v>1</v>
      </c>
      <c r="AF77" s="7">
        <f t="shared" si="97"/>
        <v>31.758947874129234</v>
      </c>
      <c r="AG77" s="7"/>
      <c r="AH77" s="5">
        <f>AH76+AH75</f>
        <v>20935</v>
      </c>
      <c r="AI77" s="10" t="s">
        <v>1</v>
      </c>
      <c r="AJ77" s="8">
        <f>AJ76+AJ75</f>
        <v>399160</v>
      </c>
      <c r="AK77" s="7">
        <f t="shared" si="98"/>
        <v>1230.1353326132537</v>
      </c>
      <c r="AL77" s="10" t="s">
        <v>1</v>
      </c>
      <c r="AM77" s="7">
        <f t="shared" si="99"/>
        <v>-9.035801371892163</v>
      </c>
      <c r="AN77" s="7"/>
      <c r="AO77" s="5">
        <f>AO76+AO75</f>
        <v>20595</v>
      </c>
      <c r="AP77" s="10" t="s">
        <v>1</v>
      </c>
      <c r="AQ77" s="8">
        <f>AQ76+AQ75</f>
        <v>426490</v>
      </c>
      <c r="AR77" s="7">
        <f t="shared" si="100"/>
        <v>-1.6240745163601624</v>
      </c>
      <c r="AS77" s="10" t="s">
        <v>1</v>
      </c>
      <c r="AT77" s="7">
        <f t="shared" si="101"/>
        <v>6.8468784447339415</v>
      </c>
      <c r="AU77" s="7"/>
      <c r="AV77" s="5">
        <f>AV76+AV75</f>
        <v>17244</v>
      </c>
      <c r="AW77" s="10" t="s">
        <v>1</v>
      </c>
      <c r="AX77" s="8">
        <f>AX76+AX75</f>
        <v>459980</v>
      </c>
      <c r="AY77" s="7">
        <f t="shared" si="102"/>
        <v>-16.270939548434086</v>
      </c>
      <c r="AZ77" s="10" t="s">
        <v>1</v>
      </c>
      <c r="BA77" s="7">
        <f t="shared" si="103"/>
        <v>7.852470163427044</v>
      </c>
      <c r="BB77" s="7"/>
      <c r="BC77" s="5">
        <f>BC76+BC75</f>
        <v>18702</v>
      </c>
      <c r="BD77" s="10" t="s">
        <v>1</v>
      </c>
      <c r="BE77" s="8">
        <f>BE76+BE75</f>
        <v>472140</v>
      </c>
      <c r="BF77" s="7">
        <f t="shared" si="104"/>
        <v>8.455114822546973</v>
      </c>
      <c r="BG77" s="10" t="s">
        <v>1</v>
      </c>
      <c r="BH77" s="7">
        <f t="shared" si="105"/>
        <v>2.643593199704335</v>
      </c>
      <c r="BI77" s="7"/>
      <c r="BJ77" s="5">
        <f>BJ76+BJ75</f>
        <v>1773.45</v>
      </c>
      <c r="BK77" s="10" t="s">
        <v>1</v>
      </c>
      <c r="BL77" s="8">
        <f>BL76+BL75</f>
        <v>466692</v>
      </c>
      <c r="BM77" s="7">
        <f t="shared" si="106"/>
        <v>-90.51732435033686</v>
      </c>
      <c r="BN77" s="10" t="s">
        <v>1</v>
      </c>
      <c r="BO77" s="7">
        <f t="shared" si="107"/>
        <v>-1.1538950311348328</v>
      </c>
      <c r="BP77" s="7"/>
      <c r="BQ77" s="5">
        <f>BQ76+BQ75</f>
        <v>1752.15</v>
      </c>
      <c r="BR77" s="10" t="s">
        <v>1</v>
      </c>
      <c r="BS77" s="8">
        <f>BS76+BS75</f>
        <v>460818</v>
      </c>
      <c r="BT77" s="7">
        <f t="shared" si="108"/>
        <v>-1.2010488031802393</v>
      </c>
      <c r="BU77" s="10" t="s">
        <v>1</v>
      </c>
      <c r="BV77" s="7">
        <f t="shared" si="109"/>
        <v>-1.2586459592193566</v>
      </c>
    </row>
    <row r="78" spans="1:74" ht="12">
      <c r="A78" s="1" t="s">
        <v>67</v>
      </c>
      <c r="B78" s="5">
        <v>280</v>
      </c>
      <c r="C78" s="7">
        <v>196.8</v>
      </c>
      <c r="D78" s="8">
        <v>46200</v>
      </c>
      <c r="E78" s="8"/>
      <c r="F78" s="5">
        <v>259</v>
      </c>
      <c r="G78" s="7">
        <v>178.7</v>
      </c>
      <c r="H78" s="8">
        <v>44100</v>
      </c>
      <c r="I78" s="7">
        <f t="shared" si="91"/>
        <v>-7.5</v>
      </c>
      <c r="J78" s="7">
        <f>G78*100/C78-100</f>
        <v>-9.197154471544726</v>
      </c>
      <c r="K78" s="7">
        <f t="shared" si="92"/>
        <v>-4.545454545454546</v>
      </c>
      <c r="L78" s="7"/>
      <c r="M78" s="5">
        <v>260</v>
      </c>
      <c r="N78" s="7">
        <v>182.1</v>
      </c>
      <c r="O78" s="8">
        <v>45000</v>
      </c>
      <c r="P78" s="7">
        <f t="shared" si="110"/>
        <v>0.3861003861003861</v>
      </c>
      <c r="Q78" s="7">
        <f>N78*100/G78-100</f>
        <v>1.9026301063234505</v>
      </c>
      <c r="R78" s="7">
        <f t="shared" si="111"/>
        <v>2.0408163265306123</v>
      </c>
      <c r="S78" s="7"/>
      <c r="T78" s="5">
        <v>260</v>
      </c>
      <c r="U78" s="7">
        <v>186.5</v>
      </c>
      <c r="V78" s="8">
        <v>46600</v>
      </c>
      <c r="W78" s="7">
        <f t="shared" si="94"/>
        <v>0</v>
      </c>
      <c r="X78" s="7">
        <f>U78*100/N78-100</f>
        <v>2.4162548050521724</v>
      </c>
      <c r="Y78" s="7">
        <f t="shared" si="95"/>
        <v>3.5555555555555554</v>
      </c>
      <c r="Z78" s="7"/>
      <c r="AA78" s="5">
        <v>232</v>
      </c>
      <c r="AB78" s="7">
        <v>242.7</v>
      </c>
      <c r="AC78" s="8">
        <v>55300</v>
      </c>
      <c r="AD78" s="7">
        <f t="shared" si="96"/>
        <v>-10.76923076923077</v>
      </c>
      <c r="AE78" s="7">
        <f>AB78*100/U78-100</f>
        <v>30.134048257372648</v>
      </c>
      <c r="AF78" s="7">
        <f t="shared" si="97"/>
        <v>18.669527896995707</v>
      </c>
      <c r="AG78" s="7"/>
      <c r="AH78" s="5">
        <v>210</v>
      </c>
      <c r="AI78" s="7">
        <v>243.3</v>
      </c>
      <c r="AJ78" s="8">
        <v>50100</v>
      </c>
      <c r="AK78" s="7">
        <f t="shared" si="98"/>
        <v>-9.482758620689655</v>
      </c>
      <c r="AL78" s="7">
        <f>AI78*100/AB78-100</f>
        <v>0.2472187886279451</v>
      </c>
      <c r="AM78" s="7">
        <f t="shared" si="99"/>
        <v>-9.403254972875226</v>
      </c>
      <c r="AN78" s="7"/>
      <c r="AO78" s="5">
        <v>154</v>
      </c>
      <c r="AP78" s="7">
        <v>244.8</v>
      </c>
      <c r="AQ78" s="8">
        <v>37200</v>
      </c>
      <c r="AR78" s="7">
        <f t="shared" si="100"/>
        <v>-26.666666666666668</v>
      </c>
      <c r="AS78" s="7">
        <f>AP78*100/AI78-100</f>
        <v>0.6165228113440197</v>
      </c>
      <c r="AT78" s="7">
        <f t="shared" si="101"/>
        <v>-25.748502994011975</v>
      </c>
      <c r="AU78" s="7"/>
      <c r="AV78" s="5">
        <v>146</v>
      </c>
      <c r="AW78" s="7">
        <v>230.8</v>
      </c>
      <c r="AX78" s="8">
        <v>33200</v>
      </c>
      <c r="AY78" s="7">
        <f t="shared" si="102"/>
        <v>-5.194805194805195</v>
      </c>
      <c r="AZ78" s="7">
        <f>AW78*100/AP78-100</f>
        <v>-5.718954248366013</v>
      </c>
      <c r="BA78" s="7">
        <f t="shared" si="103"/>
        <v>-10.75268817204301</v>
      </c>
      <c r="BB78" s="7"/>
      <c r="BC78" s="5">
        <v>122</v>
      </c>
      <c r="BD78" s="7">
        <v>231.2</v>
      </c>
      <c r="BE78" s="8">
        <v>28200</v>
      </c>
      <c r="BF78" s="7">
        <f t="shared" si="104"/>
        <v>-16.438356164383563</v>
      </c>
      <c r="BG78" s="7">
        <f>BD78*100/AW78-100</f>
        <v>0.17331022530328305</v>
      </c>
      <c r="BH78" s="7">
        <f t="shared" si="105"/>
        <v>-15.060240963855422</v>
      </c>
      <c r="BI78" s="7"/>
      <c r="BJ78" s="5">
        <v>122</v>
      </c>
      <c r="BK78" s="7">
        <v>231.3</v>
      </c>
      <c r="BL78" s="8">
        <v>27600</v>
      </c>
      <c r="BM78" s="7">
        <f t="shared" si="106"/>
        <v>0</v>
      </c>
      <c r="BN78" s="7">
        <f>BK78*100/BD78-100</f>
        <v>0.04325259515571918</v>
      </c>
      <c r="BO78" s="7">
        <f t="shared" si="107"/>
        <v>-2.127659574468085</v>
      </c>
      <c r="BP78" s="7"/>
      <c r="BQ78" s="5">
        <v>245</v>
      </c>
      <c r="BR78" s="7">
        <v>277.3</v>
      </c>
      <c r="BS78" s="8">
        <v>54300</v>
      </c>
      <c r="BT78" s="7">
        <f t="shared" si="108"/>
        <v>100.81967213114754</v>
      </c>
      <c r="BU78" s="7">
        <f>BR78*100/BK78-100</f>
        <v>19.88759187202767</v>
      </c>
      <c r="BV78" s="7">
        <f t="shared" si="109"/>
        <v>96.73913043478261</v>
      </c>
    </row>
    <row r="79" spans="1:74" ht="12">
      <c r="A79" s="1" t="s">
        <v>68</v>
      </c>
      <c r="B79" s="12">
        <v>18.89</v>
      </c>
      <c r="C79" s="7">
        <f>6630/B79</f>
        <v>350.9793541556379</v>
      </c>
      <c r="D79" s="8">
        <v>6280</v>
      </c>
      <c r="E79" s="8"/>
      <c r="F79" s="12">
        <v>22.35</v>
      </c>
      <c r="G79" s="7">
        <f>11080/F79</f>
        <v>495.7494407158836</v>
      </c>
      <c r="H79" s="8">
        <v>10490</v>
      </c>
      <c r="I79" s="7">
        <f t="shared" si="91"/>
        <v>18.316569613552147</v>
      </c>
      <c r="J79" s="7">
        <f>G79*100/C79-100</f>
        <v>41.24746508481209</v>
      </c>
      <c r="K79" s="7">
        <f t="shared" si="92"/>
        <v>67.03821656050955</v>
      </c>
      <c r="L79" s="7"/>
      <c r="M79" s="12">
        <v>20.4</v>
      </c>
      <c r="N79" s="5">
        <f>9150/M79</f>
        <v>448.5294117647059</v>
      </c>
      <c r="O79" s="8">
        <v>8730</v>
      </c>
      <c r="P79" s="7">
        <f t="shared" si="110"/>
        <v>-8.724832214765113</v>
      </c>
      <c r="Q79" s="7">
        <f>N79*100/G79-100</f>
        <v>-9.52497876406879</v>
      </c>
      <c r="R79" s="7">
        <f t="shared" si="111"/>
        <v>-16.777883698760725</v>
      </c>
      <c r="S79" s="7"/>
      <c r="T79" s="12">
        <v>17.65</v>
      </c>
      <c r="U79" s="7">
        <v>354.1</v>
      </c>
      <c r="V79" s="8">
        <v>5980</v>
      </c>
      <c r="W79" s="7">
        <f t="shared" si="94"/>
        <v>-13.480392156862745</v>
      </c>
      <c r="X79" s="7">
        <f>U79*100/N79-100</f>
        <v>-21.05311475409836</v>
      </c>
      <c r="Y79" s="7">
        <f t="shared" si="95"/>
        <v>-31.50057273768614</v>
      </c>
      <c r="Z79" s="7"/>
      <c r="AA79" s="12">
        <v>18.55</v>
      </c>
      <c r="AB79" s="7">
        <v>356.9</v>
      </c>
      <c r="AC79" s="8">
        <v>6100</v>
      </c>
      <c r="AD79" s="7">
        <f t="shared" si="96"/>
        <v>5.099150141643072</v>
      </c>
      <c r="AE79" s="7">
        <f>AB79*100/U79-100</f>
        <v>0.7907370799209134</v>
      </c>
      <c r="AF79" s="7">
        <f t="shared" si="97"/>
        <v>2.0066889632107023</v>
      </c>
      <c r="AG79" s="7"/>
      <c r="AH79" s="5">
        <v>2365</v>
      </c>
      <c r="AI79" s="7">
        <v>347.6</v>
      </c>
      <c r="AJ79" s="8">
        <v>7550</v>
      </c>
      <c r="AK79" s="7">
        <f t="shared" si="98"/>
        <v>12649.32614555256</v>
      </c>
      <c r="AL79" s="7">
        <f>AI79*100/AB79-100</f>
        <v>-2.6057719249089253</v>
      </c>
      <c r="AM79" s="7">
        <f t="shared" si="99"/>
        <v>23.770491803278688</v>
      </c>
      <c r="AN79" s="7"/>
      <c r="AO79" s="5">
        <v>3165</v>
      </c>
      <c r="AP79" s="7">
        <v>366.8</v>
      </c>
      <c r="AQ79" s="8">
        <v>10750</v>
      </c>
      <c r="AR79" s="7">
        <f t="shared" si="100"/>
        <v>33.82663847780127</v>
      </c>
      <c r="AS79" s="7">
        <f>AP79*100/AI79-100</f>
        <v>5.523590333716912</v>
      </c>
      <c r="AT79" s="7">
        <f t="shared" si="101"/>
        <v>42.384105960264904</v>
      </c>
      <c r="AU79" s="7"/>
      <c r="AV79" s="5">
        <v>3045</v>
      </c>
      <c r="AW79" s="7">
        <v>366.8</v>
      </c>
      <c r="AX79" s="8">
        <v>10300</v>
      </c>
      <c r="AY79" s="7">
        <f t="shared" si="102"/>
        <v>-3.7914691943127963</v>
      </c>
      <c r="AZ79" s="7">
        <f>AW79*100/AP79-100</f>
        <v>0</v>
      </c>
      <c r="BA79" s="7">
        <f t="shared" si="103"/>
        <v>-4.186046511627907</v>
      </c>
      <c r="BB79" s="7"/>
      <c r="BC79" s="5">
        <v>2905</v>
      </c>
      <c r="BD79" s="7">
        <v>354.2</v>
      </c>
      <c r="BE79" s="8">
        <v>9680</v>
      </c>
      <c r="BF79" s="7">
        <f t="shared" si="104"/>
        <v>-4.597701149425287</v>
      </c>
      <c r="BG79" s="7">
        <f>BD79*100/AW79-100</f>
        <v>-3.4351145038168</v>
      </c>
      <c r="BH79" s="7">
        <f t="shared" si="105"/>
        <v>-6.019417475728155</v>
      </c>
      <c r="BI79" s="7"/>
      <c r="BJ79" s="12">
        <v>32.42</v>
      </c>
      <c r="BK79" s="7">
        <v>388.1</v>
      </c>
      <c r="BL79" s="8">
        <v>12463</v>
      </c>
      <c r="BM79" s="7">
        <f t="shared" si="106"/>
        <v>-98.88399311531842</v>
      </c>
      <c r="BN79" s="7">
        <f>BK79*100/BD79-100</f>
        <v>9.570863918690016</v>
      </c>
      <c r="BO79" s="7">
        <f t="shared" si="107"/>
        <v>28.75</v>
      </c>
      <c r="BP79" s="7"/>
      <c r="BQ79" s="12">
        <v>35.52</v>
      </c>
      <c r="BR79" s="7">
        <v>429.3</v>
      </c>
      <c r="BS79" s="8">
        <v>15033</v>
      </c>
      <c r="BT79" s="7">
        <f t="shared" si="108"/>
        <v>9.561998766193712</v>
      </c>
      <c r="BU79" s="7">
        <f>BR79*100/BK79-100</f>
        <v>10.615820664777116</v>
      </c>
      <c r="BV79" s="7">
        <f t="shared" si="109"/>
        <v>20.621038273288935</v>
      </c>
    </row>
    <row r="80" spans="1:74" ht="12">
      <c r="A80" s="1" t="s">
        <v>8</v>
      </c>
      <c r="B80" s="5">
        <f>B79+B78</f>
        <v>298.89</v>
      </c>
      <c r="C80" s="10" t="s">
        <v>1</v>
      </c>
      <c r="D80" s="8">
        <f>D79+D78</f>
        <v>52480</v>
      </c>
      <c r="E80" s="8"/>
      <c r="F80" s="5">
        <f>F79+F78</f>
        <v>281.35</v>
      </c>
      <c r="G80" s="10" t="s">
        <v>1</v>
      </c>
      <c r="H80" s="8">
        <f>H79+H78</f>
        <v>54590</v>
      </c>
      <c r="I80" s="7">
        <f t="shared" si="91"/>
        <v>-5.868379671451024</v>
      </c>
      <c r="J80" s="10" t="s">
        <v>1</v>
      </c>
      <c r="K80" s="7">
        <f t="shared" si="92"/>
        <v>4.020579268292683</v>
      </c>
      <c r="L80" s="7"/>
      <c r="M80" s="5">
        <f>M79+M78</f>
        <v>280.4</v>
      </c>
      <c r="N80" s="6" t="s">
        <v>1</v>
      </c>
      <c r="O80" s="8">
        <f>O79+O78</f>
        <v>53730</v>
      </c>
      <c r="P80" s="7">
        <f t="shared" si="110"/>
        <v>-0.33765772169896763</v>
      </c>
      <c r="Q80" s="10" t="s">
        <v>1</v>
      </c>
      <c r="R80" s="7">
        <f t="shared" si="111"/>
        <v>-1.5753801062465653</v>
      </c>
      <c r="S80" s="7"/>
      <c r="T80" s="5">
        <f>T79+T78</f>
        <v>277.65</v>
      </c>
      <c r="U80" s="6" t="s">
        <v>1</v>
      </c>
      <c r="V80" s="8">
        <f>V79+V78</f>
        <v>52580</v>
      </c>
      <c r="W80" s="7">
        <f t="shared" si="94"/>
        <v>-0.9807417974322398</v>
      </c>
      <c r="X80" s="10" t="s">
        <v>1</v>
      </c>
      <c r="Y80" s="7">
        <f t="shared" si="95"/>
        <v>-2.1403312860599293</v>
      </c>
      <c r="Z80" s="7"/>
      <c r="AA80" s="5">
        <f>AA79+AA78</f>
        <v>250.55</v>
      </c>
      <c r="AB80" s="6" t="s">
        <v>1</v>
      </c>
      <c r="AC80" s="8">
        <f>AC79+AC78</f>
        <v>61400</v>
      </c>
      <c r="AD80" s="7">
        <f t="shared" si="96"/>
        <v>-9.760489825319636</v>
      </c>
      <c r="AE80" s="10" t="s">
        <v>1</v>
      </c>
      <c r="AF80" s="7">
        <f t="shared" si="97"/>
        <v>16.774438950171167</v>
      </c>
      <c r="AG80" s="7"/>
      <c r="AH80" s="5">
        <f>AH79+AH78</f>
        <v>2575</v>
      </c>
      <c r="AI80" s="10" t="s">
        <v>1</v>
      </c>
      <c r="AJ80" s="8">
        <f>AJ79+AJ78</f>
        <v>57650</v>
      </c>
      <c r="AK80" s="7">
        <f t="shared" si="98"/>
        <v>927.7389742566354</v>
      </c>
      <c r="AL80" s="10" t="s">
        <v>1</v>
      </c>
      <c r="AM80" s="7">
        <f t="shared" si="99"/>
        <v>-6.107491856677524</v>
      </c>
      <c r="AN80" s="7"/>
      <c r="AO80" s="5">
        <f>AO79+AO78</f>
        <v>3319</v>
      </c>
      <c r="AP80" s="10" t="s">
        <v>1</v>
      </c>
      <c r="AQ80" s="8">
        <f>AQ79+AQ78</f>
        <v>47950</v>
      </c>
      <c r="AR80" s="7">
        <f t="shared" si="100"/>
        <v>28.893203883495147</v>
      </c>
      <c r="AS80" s="10" t="s">
        <v>1</v>
      </c>
      <c r="AT80" s="7">
        <f t="shared" si="101"/>
        <v>-16.825672159583696</v>
      </c>
      <c r="AU80" s="7"/>
      <c r="AV80" s="5">
        <f>AV79+AV78</f>
        <v>3191</v>
      </c>
      <c r="AW80" s="10" t="s">
        <v>1</v>
      </c>
      <c r="AX80" s="8">
        <f>AX79+AX78</f>
        <v>43500</v>
      </c>
      <c r="AY80" s="7">
        <f t="shared" si="102"/>
        <v>-3.856583308225369</v>
      </c>
      <c r="AZ80" s="10" t="s">
        <v>1</v>
      </c>
      <c r="BA80" s="7">
        <f t="shared" si="103"/>
        <v>-9.280500521376434</v>
      </c>
      <c r="BB80" s="7"/>
      <c r="BC80" s="5">
        <f>BC79+BC78</f>
        <v>3027</v>
      </c>
      <c r="BD80" s="10" t="s">
        <v>1</v>
      </c>
      <c r="BE80" s="8">
        <f>BE79+BE78</f>
        <v>37880</v>
      </c>
      <c r="BF80" s="7">
        <f t="shared" si="104"/>
        <v>-5.139454716389847</v>
      </c>
      <c r="BG80" s="10" t="s">
        <v>1</v>
      </c>
      <c r="BH80" s="7">
        <f t="shared" si="105"/>
        <v>-12.919540229885058</v>
      </c>
      <c r="BI80" s="7"/>
      <c r="BJ80" s="5">
        <f>BJ79+BJ78</f>
        <v>154.42000000000002</v>
      </c>
      <c r="BK80" s="10" t="s">
        <v>1</v>
      </c>
      <c r="BL80" s="8">
        <f>BL79+BL78</f>
        <v>40063</v>
      </c>
      <c r="BM80" s="7">
        <f t="shared" si="106"/>
        <v>-94.89857945160225</v>
      </c>
      <c r="BN80" s="10" t="s">
        <v>1</v>
      </c>
      <c r="BO80" s="7">
        <f t="shared" si="107"/>
        <v>5.762935586061246</v>
      </c>
      <c r="BP80" s="7"/>
      <c r="BQ80" s="5">
        <f>BQ79+BQ78</f>
        <v>280.52</v>
      </c>
      <c r="BR80" s="10" t="s">
        <v>1</v>
      </c>
      <c r="BS80" s="8">
        <f>BS79+BS78</f>
        <v>69333</v>
      </c>
      <c r="BT80" s="7">
        <f t="shared" si="108"/>
        <v>81.66040668307211</v>
      </c>
      <c r="BU80" s="10" t="s">
        <v>1</v>
      </c>
      <c r="BV80" s="7">
        <f t="shared" si="109"/>
        <v>73.05993060929036</v>
      </c>
    </row>
    <row r="81" spans="1:74" ht="12">
      <c r="A81" s="1" t="s">
        <v>69</v>
      </c>
      <c r="B81" s="5">
        <v>5020</v>
      </c>
      <c r="C81" s="7">
        <v>74.7</v>
      </c>
      <c r="D81" s="8">
        <v>370500</v>
      </c>
      <c r="E81" s="8"/>
      <c r="F81" s="5">
        <v>5020</v>
      </c>
      <c r="G81" s="7">
        <v>73.8</v>
      </c>
      <c r="H81" s="8">
        <v>367300</v>
      </c>
      <c r="I81" s="7">
        <f t="shared" si="91"/>
        <v>0</v>
      </c>
      <c r="J81" s="7">
        <f>G81*100/C81-100</f>
        <v>-1.2048192771084414</v>
      </c>
      <c r="K81" s="7">
        <f t="shared" si="92"/>
        <v>-0.863697705802969</v>
      </c>
      <c r="L81" s="7"/>
      <c r="M81" s="5">
        <v>5491</v>
      </c>
      <c r="N81" s="7">
        <v>72.7</v>
      </c>
      <c r="O81" s="8">
        <v>394600</v>
      </c>
      <c r="P81" s="7">
        <f t="shared" si="110"/>
        <v>9.382470119521912</v>
      </c>
      <c r="Q81" s="7">
        <f>N81*100/G81-100</f>
        <v>-1.4905149051490438</v>
      </c>
      <c r="R81" s="7">
        <f t="shared" si="111"/>
        <v>7.432616389872039</v>
      </c>
      <c r="S81" s="7"/>
      <c r="T81" s="5">
        <v>5490</v>
      </c>
      <c r="U81" s="7">
        <v>76.9</v>
      </c>
      <c r="V81" s="8">
        <v>416300</v>
      </c>
      <c r="W81" s="7">
        <f t="shared" si="94"/>
        <v>-0.018211619012930252</v>
      </c>
      <c r="X81" s="7">
        <f>U81*100/N81-100</f>
        <v>5.777166437414034</v>
      </c>
      <c r="Y81" s="7">
        <f t="shared" si="95"/>
        <v>5.499239736441966</v>
      </c>
      <c r="Z81" s="7"/>
      <c r="AA81" s="5">
        <v>5595</v>
      </c>
      <c r="AB81" s="7">
        <v>74.4</v>
      </c>
      <c r="AC81" s="8">
        <v>412600</v>
      </c>
      <c r="AD81" s="7">
        <f t="shared" si="96"/>
        <v>1.9125683060109289</v>
      </c>
      <c r="AE81" s="7">
        <f>AB81*100/U81-100</f>
        <v>-3.250975292587776</v>
      </c>
      <c r="AF81" s="7">
        <f t="shared" si="97"/>
        <v>-0.8887821282728802</v>
      </c>
      <c r="AG81" s="7"/>
      <c r="AH81" s="5">
        <v>5400</v>
      </c>
      <c r="AI81" s="7">
        <v>77.4</v>
      </c>
      <c r="AJ81" s="8">
        <v>416000</v>
      </c>
      <c r="AK81" s="7">
        <f t="shared" si="98"/>
        <v>-3.485254691689008</v>
      </c>
      <c r="AL81" s="7">
        <f>AI81*100/AB81-100</f>
        <v>4.032258064516129</v>
      </c>
      <c r="AM81" s="7">
        <f t="shared" si="99"/>
        <v>0.8240426563257393</v>
      </c>
      <c r="AN81" s="7"/>
      <c r="AO81" s="5">
        <v>5505</v>
      </c>
      <c r="AP81" s="7">
        <v>75.9</v>
      </c>
      <c r="AQ81" s="8">
        <v>413800</v>
      </c>
      <c r="AR81" s="7">
        <f t="shared" si="100"/>
        <v>1.9444444444444444</v>
      </c>
      <c r="AS81" s="7">
        <f>AP81*100/AI81-100</f>
        <v>-1.937984496124031</v>
      </c>
      <c r="AT81" s="7">
        <f t="shared" si="101"/>
        <v>-0.5288461538461539</v>
      </c>
      <c r="AU81" s="7"/>
      <c r="AV81" s="5">
        <v>5395</v>
      </c>
      <c r="AW81" s="7">
        <v>83.5</v>
      </c>
      <c r="AX81" s="8">
        <v>448500</v>
      </c>
      <c r="AY81" s="7">
        <f t="shared" si="102"/>
        <v>-1.9981834695731153</v>
      </c>
      <c r="AZ81" s="7">
        <f>AW81*100/AP81-100</f>
        <v>10.013175230566526</v>
      </c>
      <c r="BA81" s="7">
        <f t="shared" si="103"/>
        <v>8.385693571773803</v>
      </c>
      <c r="BB81" s="7"/>
      <c r="BC81" s="5">
        <v>5680</v>
      </c>
      <c r="BD81" s="7">
        <v>91.3</v>
      </c>
      <c r="BE81" s="8">
        <v>513500</v>
      </c>
      <c r="BF81" s="7">
        <f t="shared" si="104"/>
        <v>5.282669138090825</v>
      </c>
      <c r="BG81" s="7">
        <f>BD81*100/AW81-100</f>
        <v>9.341317365269457</v>
      </c>
      <c r="BH81" s="7">
        <f t="shared" si="105"/>
        <v>14.492753623188406</v>
      </c>
      <c r="BI81" s="7"/>
      <c r="BJ81" s="5">
        <v>5740</v>
      </c>
      <c r="BK81" s="7">
        <v>92.5</v>
      </c>
      <c r="BL81" s="8">
        <v>518600</v>
      </c>
      <c r="BM81" s="7">
        <f t="shared" si="106"/>
        <v>1.056338028169014</v>
      </c>
      <c r="BN81" s="7">
        <f>BK81*100/BD81-100</f>
        <v>1.3143483023001128</v>
      </c>
      <c r="BO81" s="7">
        <f t="shared" si="107"/>
        <v>0.9931840311587147</v>
      </c>
      <c r="BP81" s="7"/>
      <c r="BQ81" s="5">
        <v>5135</v>
      </c>
      <c r="BR81" s="7">
        <v>91.7</v>
      </c>
      <c r="BS81" s="8">
        <v>468500</v>
      </c>
      <c r="BT81" s="7">
        <f t="shared" si="108"/>
        <v>-10.54006968641115</v>
      </c>
      <c r="BU81" s="7">
        <f>BR81*100/BK81-100</f>
        <v>-0.8648648648648618</v>
      </c>
      <c r="BV81" s="7">
        <f t="shared" si="109"/>
        <v>-9.660624758966447</v>
      </c>
    </row>
    <row r="82" spans="1:74" ht="12">
      <c r="A82" s="1" t="s">
        <v>70</v>
      </c>
      <c r="C82" s="7"/>
      <c r="D82" s="8"/>
      <c r="E82" s="8"/>
      <c r="H82" s="8"/>
      <c r="O82" s="8"/>
      <c r="P82" s="7"/>
      <c r="Q82" s="7"/>
      <c r="R82" s="7"/>
      <c r="S82" s="7"/>
      <c r="V82" s="8"/>
      <c r="AC82" s="8"/>
      <c r="AJ82" s="8"/>
      <c r="AQ82" s="8"/>
      <c r="AV82" s="12"/>
      <c r="AW82" s="12"/>
      <c r="AX82" s="8"/>
      <c r="AY82" s="12"/>
      <c r="AZ82" s="12"/>
      <c r="BA82" s="12"/>
      <c r="BB82" s="12"/>
      <c r="BC82" s="5">
        <v>200</v>
      </c>
      <c r="BD82" s="7">
        <v>200</v>
      </c>
      <c r="BE82" s="8">
        <v>390</v>
      </c>
      <c r="BF82" s="7" t="e">
        <f t="shared" si="104"/>
        <v>#VALUE!</v>
      </c>
      <c r="BG82" s="7" t="e">
        <f>BD82*100/AW82-100</f>
        <v>#VALUE!</v>
      </c>
      <c r="BH82" s="7" t="e">
        <f t="shared" si="105"/>
        <v>#VALUE!</v>
      </c>
      <c r="BI82" s="7"/>
      <c r="BJ82" s="5">
        <v>2</v>
      </c>
      <c r="BK82" s="5">
        <v>240</v>
      </c>
      <c r="BL82" s="8">
        <v>480</v>
      </c>
      <c r="BM82" s="7">
        <f t="shared" si="106"/>
        <v>-99</v>
      </c>
      <c r="BN82" s="7">
        <f>BK82*100/BD82-100</f>
        <v>20</v>
      </c>
      <c r="BO82" s="7">
        <f t="shared" si="107"/>
        <v>23.076923076923077</v>
      </c>
      <c r="BP82" s="7"/>
      <c r="BQ82" s="12">
        <v>2</v>
      </c>
      <c r="BR82" s="7">
        <v>250</v>
      </c>
      <c r="BS82" s="8">
        <v>500</v>
      </c>
      <c r="BT82" s="7">
        <f t="shared" si="108"/>
        <v>0</v>
      </c>
      <c r="BU82" s="7">
        <f>BR82*100/BK82-100</f>
        <v>4.166666666666667</v>
      </c>
      <c r="BV82" s="7">
        <f t="shared" si="109"/>
        <v>4.166666666666667</v>
      </c>
    </row>
    <row r="83" spans="1:74" ht="12">
      <c r="A83" s="1" t="s">
        <v>8</v>
      </c>
      <c r="B83" s="5">
        <f>B81+B82</f>
        <v>5020</v>
      </c>
      <c r="C83" s="10" t="s">
        <v>1</v>
      </c>
      <c r="D83" s="8">
        <f>D82+D81</f>
        <v>370500</v>
      </c>
      <c r="E83" s="8"/>
      <c r="F83" s="5">
        <f>SUM(F81:F82)</f>
        <v>5020</v>
      </c>
      <c r="G83" s="10" t="s">
        <v>1</v>
      </c>
      <c r="H83" s="8">
        <f>SUM(H81:H82)</f>
        <v>367300</v>
      </c>
      <c r="I83" s="7">
        <f aca="true" t="shared" si="112" ref="I83:I106">F83*100/B83-100</f>
        <v>0</v>
      </c>
      <c r="J83" s="10" t="s">
        <v>1</v>
      </c>
      <c r="K83" s="7">
        <f aca="true" t="shared" si="113" ref="K83:K106">H83*100/D83-100</f>
        <v>-0.863697705802969</v>
      </c>
      <c r="L83" s="7"/>
      <c r="M83" s="5">
        <f>SUM(M81:M82)</f>
        <v>5491</v>
      </c>
      <c r="N83" s="6" t="s">
        <v>1</v>
      </c>
      <c r="O83" s="8">
        <f>SUM(O81:O82)</f>
        <v>394600</v>
      </c>
      <c r="P83" s="7">
        <f aca="true" t="shared" si="114" ref="P83:P88">M83*100/F83-100</f>
        <v>9.382470119521912</v>
      </c>
      <c r="Q83" s="10" t="s">
        <v>1</v>
      </c>
      <c r="R83" s="7">
        <f aca="true" t="shared" si="115" ref="R83:R88">O83*100/H83-100</f>
        <v>7.432616389872039</v>
      </c>
      <c r="S83" s="7"/>
      <c r="T83" s="5">
        <f>SUM(T81:T82)</f>
        <v>5490</v>
      </c>
      <c r="U83" s="6" t="s">
        <v>1</v>
      </c>
      <c r="V83" s="8">
        <f>SUM(V81:V82)</f>
        <v>416300</v>
      </c>
      <c r="W83" s="7">
        <f aca="true" t="shared" si="116" ref="W83:W88">T83*100/M83-100</f>
        <v>-0.018211619012930252</v>
      </c>
      <c r="X83" s="10" t="s">
        <v>1</v>
      </c>
      <c r="Y83" s="7">
        <f aca="true" t="shared" si="117" ref="Y83:Y88">V83*100/O83-100</f>
        <v>5.499239736441966</v>
      </c>
      <c r="Z83" s="7"/>
      <c r="AA83" s="5">
        <f>SUM(AA81:AA82)</f>
        <v>5595</v>
      </c>
      <c r="AB83" s="6" t="s">
        <v>1</v>
      </c>
      <c r="AC83" s="8">
        <f>SUM(AC81:AC82)</f>
        <v>412600</v>
      </c>
      <c r="AD83" s="7">
        <f aca="true" t="shared" si="118" ref="AD83:AD106">AA83*100/T83-100</f>
        <v>1.9125683060109289</v>
      </c>
      <c r="AE83" s="10" t="s">
        <v>1</v>
      </c>
      <c r="AF83" s="7">
        <f aca="true" t="shared" si="119" ref="AF83:AF106">AC83*100/V83-100</f>
        <v>-0.8887821282728802</v>
      </c>
      <c r="AG83" s="7"/>
      <c r="AH83" s="5">
        <f>AH82+AH81</f>
        <v>5400</v>
      </c>
      <c r="AI83" s="10" t="s">
        <v>1</v>
      </c>
      <c r="AJ83" s="8">
        <f>AJ82+AJ81</f>
        <v>416000</v>
      </c>
      <c r="AK83" s="7">
        <f aca="true" t="shared" si="120" ref="AK83:AK106">AH83*100/AA83-100</f>
        <v>-3.485254691689008</v>
      </c>
      <c r="AL83" s="10" t="s">
        <v>1</v>
      </c>
      <c r="AM83" s="7">
        <f aca="true" t="shared" si="121" ref="AM83:AM106">AJ83*100/AC83-100</f>
        <v>0.8240426563257393</v>
      </c>
      <c r="AN83" s="7"/>
      <c r="AO83" s="5">
        <f>AO82+AO81</f>
        <v>5505</v>
      </c>
      <c r="AP83" s="10" t="s">
        <v>1</v>
      </c>
      <c r="AQ83" s="8">
        <f>AQ82+AQ81</f>
        <v>413800</v>
      </c>
      <c r="AR83" s="7">
        <f aca="true" t="shared" si="122" ref="AR83:AR109">AO83*100/AH83-100</f>
        <v>1.9444444444444444</v>
      </c>
      <c r="AS83" s="10" t="s">
        <v>1</v>
      </c>
      <c r="AT83" s="7">
        <f aca="true" t="shared" si="123" ref="AT83:AT109">AQ83*100/AJ83-100</f>
        <v>-0.5288461538461539</v>
      </c>
      <c r="AU83" s="7"/>
      <c r="AV83" s="5">
        <f>AV82+AV81</f>
        <v>5395</v>
      </c>
      <c r="AW83" s="10" t="s">
        <v>1</v>
      </c>
      <c r="AX83" s="8">
        <f>AX82+AX81</f>
        <v>448500</v>
      </c>
      <c r="AY83" s="7">
        <f aca="true" t="shared" si="124" ref="AY83:AY109">AV83*100/AO83-100</f>
        <v>-1.9981834695731153</v>
      </c>
      <c r="AZ83" s="10" t="s">
        <v>1</v>
      </c>
      <c r="BA83" s="7">
        <f aca="true" t="shared" si="125" ref="BA83:BA109">AX83*100/AQ83-100</f>
        <v>8.385693571773803</v>
      </c>
      <c r="BB83" s="7"/>
      <c r="BC83" s="5">
        <f>BC82+BC81</f>
        <v>5880</v>
      </c>
      <c r="BD83" s="10" t="s">
        <v>1</v>
      </c>
      <c r="BE83" s="8">
        <f>BE82+BE81</f>
        <v>513890</v>
      </c>
      <c r="BF83" s="7">
        <f t="shared" si="104"/>
        <v>8.989805375347544</v>
      </c>
      <c r="BG83" s="10" t="s">
        <v>1</v>
      </c>
      <c r="BH83" s="7">
        <f t="shared" si="105"/>
        <v>14.579710144927537</v>
      </c>
      <c r="BI83" s="7"/>
      <c r="BJ83" s="5">
        <f>SUM(BJ81:BJ82)</f>
        <v>5742</v>
      </c>
      <c r="BK83" s="10" t="s">
        <v>1</v>
      </c>
      <c r="BL83" s="8">
        <f>SUM(BL81:BL82)</f>
        <v>519080</v>
      </c>
      <c r="BM83" s="7">
        <f t="shared" si="106"/>
        <v>-2.3469387755102042</v>
      </c>
      <c r="BN83" s="10" t="s">
        <v>1</v>
      </c>
      <c r="BO83" s="7">
        <f t="shared" si="107"/>
        <v>1.0099437622837573</v>
      </c>
      <c r="BP83" s="7"/>
      <c r="BQ83" s="5">
        <f>BQ82+BQ81</f>
        <v>5137</v>
      </c>
      <c r="BR83" s="10" t="s">
        <v>1</v>
      </c>
      <c r="BS83" s="8">
        <f>BS82+BS81</f>
        <v>469000</v>
      </c>
      <c r="BT83" s="7">
        <f t="shared" si="108"/>
        <v>-10.53639846743295</v>
      </c>
      <c r="BU83" s="10" t="s">
        <v>1</v>
      </c>
      <c r="BV83" s="7">
        <f t="shared" si="109"/>
        <v>-9.647838483470755</v>
      </c>
    </row>
    <row r="84" spans="1:74" ht="12">
      <c r="A84" s="1" t="s">
        <v>71</v>
      </c>
      <c r="B84" s="5">
        <v>11335</v>
      </c>
      <c r="C84" s="7">
        <v>445.3</v>
      </c>
      <c r="D84" s="8">
        <v>4554800</v>
      </c>
      <c r="E84" s="8"/>
      <c r="F84" s="5">
        <v>9540</v>
      </c>
      <c r="G84" s="7">
        <v>420.7</v>
      </c>
      <c r="H84" s="8">
        <v>3717500</v>
      </c>
      <c r="I84" s="7">
        <f t="shared" si="112"/>
        <v>-15.835906484340539</v>
      </c>
      <c r="J84" s="7">
        <f>G84*100/C84-100</f>
        <v>-5.524365596227267</v>
      </c>
      <c r="K84" s="7">
        <f t="shared" si="113"/>
        <v>-18.3828049530166</v>
      </c>
      <c r="L84" s="7"/>
      <c r="M84" s="5">
        <v>10550</v>
      </c>
      <c r="N84" s="7">
        <v>379.5</v>
      </c>
      <c r="O84" s="8">
        <v>3771700</v>
      </c>
      <c r="P84" s="7">
        <f t="shared" si="114"/>
        <v>10.58700209643606</v>
      </c>
      <c r="Q84" s="7">
        <f>N84*100/G84-100</f>
        <v>-9.793201806512952</v>
      </c>
      <c r="R84" s="7">
        <f t="shared" si="115"/>
        <v>1.4579690652320108</v>
      </c>
      <c r="S84" s="7"/>
      <c r="T84" s="5">
        <v>12595</v>
      </c>
      <c r="U84" s="7">
        <v>494.9</v>
      </c>
      <c r="V84" s="8">
        <v>6158300</v>
      </c>
      <c r="W84" s="7">
        <f t="shared" si="116"/>
        <v>19.38388625592417</v>
      </c>
      <c r="X84" s="7">
        <f>U84*100/N84-100</f>
        <v>30.408432147562575</v>
      </c>
      <c r="Y84" s="7">
        <f t="shared" si="117"/>
        <v>63.27650661505422</v>
      </c>
      <c r="Z84" s="7"/>
      <c r="AA84" s="5">
        <v>14420</v>
      </c>
      <c r="AB84" s="7">
        <v>565.5</v>
      </c>
      <c r="AC84" s="8">
        <v>7796000</v>
      </c>
      <c r="AD84" s="7">
        <f t="shared" si="118"/>
        <v>14.489876935291782</v>
      </c>
      <c r="AE84" s="7">
        <f>AB84*100/U84-100</f>
        <v>14.265508183471413</v>
      </c>
      <c r="AF84" s="7">
        <f t="shared" si="119"/>
        <v>26.59337804264164</v>
      </c>
      <c r="AG84" s="7"/>
      <c r="AH84" s="5">
        <v>13015</v>
      </c>
      <c r="AI84" s="7">
        <v>541.6</v>
      </c>
      <c r="AJ84" s="8">
        <v>6897100</v>
      </c>
      <c r="AK84" s="7">
        <f t="shared" si="120"/>
        <v>-9.743411927877947</v>
      </c>
      <c r="AL84" s="7">
        <f>AI84*100/AB84-100</f>
        <v>-4.226348364279395</v>
      </c>
      <c r="AM84" s="7">
        <f t="shared" si="121"/>
        <v>-11.530271934325295</v>
      </c>
      <c r="AN84" s="7"/>
      <c r="AO84" s="5">
        <v>12660</v>
      </c>
      <c r="AP84" s="7">
        <v>589.2</v>
      </c>
      <c r="AQ84" s="8">
        <v>7246100</v>
      </c>
      <c r="AR84" s="7">
        <f t="shared" si="122"/>
        <v>-2.7276219746446406</v>
      </c>
      <c r="AS84" s="7">
        <f>AP84*100/AI84-100</f>
        <v>8.788774002954213</v>
      </c>
      <c r="AT84" s="7">
        <f t="shared" si="123"/>
        <v>5.060097722231083</v>
      </c>
      <c r="AU84" s="7"/>
      <c r="AV84" s="5">
        <v>12725</v>
      </c>
      <c r="AW84" s="7">
        <v>526.8</v>
      </c>
      <c r="AX84" s="8">
        <v>6611900</v>
      </c>
      <c r="AY84" s="7">
        <f t="shared" si="124"/>
        <v>0.5134281200631912</v>
      </c>
      <c r="AZ84" s="7">
        <f>AW84*100/AP84-100</f>
        <v>-10.590631364562133</v>
      </c>
      <c r="BA84" s="7">
        <f t="shared" si="125"/>
        <v>-8.752294337643699</v>
      </c>
      <c r="BB84" s="7"/>
      <c r="BC84" s="5">
        <v>13760</v>
      </c>
      <c r="BD84" s="7">
        <v>543.3</v>
      </c>
      <c r="BE84" s="8">
        <v>7391100</v>
      </c>
      <c r="BF84" s="7">
        <f t="shared" si="104"/>
        <v>8.133595284872298</v>
      </c>
      <c r="BG84" s="7">
        <f>BD84*100/AW84-100</f>
        <v>3.132118451025057</v>
      </c>
      <c r="BH84" s="7">
        <f t="shared" si="105"/>
        <v>11.784812232489905</v>
      </c>
      <c r="BI84" s="7"/>
      <c r="BJ84" s="5">
        <v>14640</v>
      </c>
      <c r="BK84" s="7">
        <v>605.4</v>
      </c>
      <c r="BL84" s="8">
        <v>8806900</v>
      </c>
      <c r="BM84" s="7">
        <f t="shared" si="106"/>
        <v>6.395348837209302</v>
      </c>
      <c r="BN84" s="7">
        <f>BK84*100/BD84-100</f>
        <v>11.430149088901164</v>
      </c>
      <c r="BO84" s="7">
        <f t="shared" si="107"/>
        <v>19.15547076889773</v>
      </c>
      <c r="BP84" s="7"/>
      <c r="BQ84" s="5">
        <v>14400</v>
      </c>
      <c r="BR84" s="7">
        <f>8699050/BQ84</f>
        <v>604.1006944444445</v>
      </c>
      <c r="BS84" s="8">
        <v>8250300</v>
      </c>
      <c r="BT84" s="7">
        <f t="shared" si="108"/>
        <v>-1.639344262295082</v>
      </c>
      <c r="BU84" s="7">
        <f>BR84*100/BK84-100</f>
        <v>-0.21461935176007932</v>
      </c>
      <c r="BV84" s="7">
        <f t="shared" si="109"/>
        <v>-6.320044510554225</v>
      </c>
    </row>
    <row r="85" spans="1:74" ht="12">
      <c r="A85" s="1" t="s">
        <v>72</v>
      </c>
      <c r="B85" s="12">
        <v>90</v>
      </c>
      <c r="C85" s="7">
        <f>70730/B85</f>
        <v>785.8888888888889</v>
      </c>
      <c r="D85" s="8">
        <v>64130</v>
      </c>
      <c r="E85" s="8"/>
      <c r="F85" s="12">
        <v>112.7</v>
      </c>
      <c r="G85" s="7">
        <f>96390/F85</f>
        <v>855.27950310559</v>
      </c>
      <c r="H85" s="8">
        <v>90920</v>
      </c>
      <c r="I85" s="7">
        <f t="shared" si="112"/>
        <v>25.222222222222225</v>
      </c>
      <c r="J85" s="7">
        <f>G85*100/C85-100</f>
        <v>8.82957059169108</v>
      </c>
      <c r="K85" s="7">
        <f t="shared" si="113"/>
        <v>41.77452050522376</v>
      </c>
      <c r="L85" s="7"/>
      <c r="M85" s="12">
        <v>126.4</v>
      </c>
      <c r="N85" s="5">
        <f>107650/M85</f>
        <v>851.6613924050632</v>
      </c>
      <c r="O85" s="8">
        <v>97670</v>
      </c>
      <c r="P85" s="7">
        <f t="shared" si="114"/>
        <v>12.15616681455191</v>
      </c>
      <c r="Q85" s="7">
        <f>N85*100/G85-100</f>
        <v>-0.4230325510419876</v>
      </c>
      <c r="R85" s="7">
        <f t="shared" si="115"/>
        <v>7.424109106907171</v>
      </c>
      <c r="S85" s="7"/>
      <c r="T85" s="7">
        <v>142.4</v>
      </c>
      <c r="U85" s="7">
        <v>788.1</v>
      </c>
      <c r="V85" s="8">
        <v>101940</v>
      </c>
      <c r="W85" s="7">
        <f t="shared" si="116"/>
        <v>12.658227848101266</v>
      </c>
      <c r="X85" s="7">
        <f>U85*100/N85-100</f>
        <v>-7.46322340919646</v>
      </c>
      <c r="Y85" s="7">
        <f t="shared" si="117"/>
        <v>4.371864441486639</v>
      </c>
      <c r="Z85" s="7"/>
      <c r="AA85" s="7">
        <v>156.5</v>
      </c>
      <c r="AB85" s="7">
        <v>769.3</v>
      </c>
      <c r="AC85" s="8">
        <v>108260</v>
      </c>
      <c r="AD85" s="7">
        <f t="shared" si="118"/>
        <v>9.901685393258422</v>
      </c>
      <c r="AE85" s="7">
        <f>AB85*100/U85-100</f>
        <v>-2.3854840756249294</v>
      </c>
      <c r="AF85" s="7">
        <f t="shared" si="119"/>
        <v>6.199725328624681</v>
      </c>
      <c r="AG85" s="7"/>
      <c r="AH85" s="7">
        <v>191.6</v>
      </c>
      <c r="AI85" s="7">
        <v>742.2</v>
      </c>
      <c r="AJ85" s="8">
        <v>142200</v>
      </c>
      <c r="AK85" s="7">
        <f t="shared" si="120"/>
        <v>22.428115015974438</v>
      </c>
      <c r="AL85" s="7">
        <f>AI85*100/AB85-100</f>
        <v>-3.5226829585337205</v>
      </c>
      <c r="AM85" s="7">
        <f t="shared" si="121"/>
        <v>31.35045261407722</v>
      </c>
      <c r="AN85" s="7"/>
      <c r="AO85" s="5">
        <v>17395</v>
      </c>
      <c r="AP85" s="7">
        <v>756.9</v>
      </c>
      <c r="AQ85" s="8">
        <v>122220</v>
      </c>
      <c r="AR85" s="7">
        <f t="shared" si="122"/>
        <v>8978.810020876826</v>
      </c>
      <c r="AS85" s="7">
        <f>AP85*100/AI85-100</f>
        <v>1.9805982215036286</v>
      </c>
      <c r="AT85" s="7">
        <f t="shared" si="123"/>
        <v>-14.050632911392405</v>
      </c>
      <c r="AU85" s="7"/>
      <c r="AV85" s="5">
        <v>17182</v>
      </c>
      <c r="AW85" s="7">
        <v>812.4</v>
      </c>
      <c r="AX85" s="8">
        <v>131530</v>
      </c>
      <c r="AY85" s="7">
        <f t="shared" si="124"/>
        <v>-1.2244897959183674</v>
      </c>
      <c r="AZ85" s="7">
        <f>AW85*100/AP85-100</f>
        <v>7.332540626238605</v>
      </c>
      <c r="BA85" s="7">
        <f t="shared" si="125"/>
        <v>7.617411225658648</v>
      </c>
      <c r="BB85" s="7"/>
      <c r="BC85" s="5">
        <v>15927</v>
      </c>
      <c r="BD85" s="7">
        <v>934.1</v>
      </c>
      <c r="BE85" s="8">
        <v>140990</v>
      </c>
      <c r="BF85" s="7">
        <f t="shared" si="104"/>
        <v>-7.304155511581888</v>
      </c>
      <c r="BG85" s="7">
        <f>BD85*100/AW85-100</f>
        <v>14.980305268340725</v>
      </c>
      <c r="BH85" s="7">
        <f t="shared" si="105"/>
        <v>7.192275526495856</v>
      </c>
      <c r="BI85" s="7"/>
      <c r="BJ85" s="12">
        <v>206.35</v>
      </c>
      <c r="BK85" s="7">
        <v>925.8</v>
      </c>
      <c r="BL85" s="8">
        <v>187131</v>
      </c>
      <c r="BM85" s="7">
        <f t="shared" si="106"/>
        <v>-98.70440133107302</v>
      </c>
      <c r="BN85" s="7">
        <f>BK85*100/BD85-100</f>
        <v>-0.8885558291403562</v>
      </c>
      <c r="BO85" s="7">
        <f t="shared" si="107"/>
        <v>32.72643449890063</v>
      </c>
      <c r="BP85" s="7"/>
      <c r="BQ85" s="12">
        <v>211.78</v>
      </c>
      <c r="BR85" s="7">
        <v>1021.4</v>
      </c>
      <c r="BS85" s="8">
        <v>208866</v>
      </c>
      <c r="BT85" s="7">
        <f t="shared" si="108"/>
        <v>2.6314514174945516</v>
      </c>
      <c r="BU85" s="7">
        <f>BR85*100/BK85-100</f>
        <v>10.32620436379348</v>
      </c>
      <c r="BV85" s="7">
        <f t="shared" si="109"/>
        <v>11.614858040623949</v>
      </c>
    </row>
    <row r="86" spans="1:74" ht="12">
      <c r="A86" s="1" t="s">
        <v>8</v>
      </c>
      <c r="B86" s="5">
        <f>B85+B84</f>
        <v>11425</v>
      </c>
      <c r="C86" s="10" t="s">
        <v>1</v>
      </c>
      <c r="D86" s="8">
        <f>D85+D84</f>
        <v>4618930</v>
      </c>
      <c r="E86" s="8"/>
      <c r="F86" s="5">
        <f>F85+F84</f>
        <v>9652.7</v>
      </c>
      <c r="G86" s="10" t="s">
        <v>1</v>
      </c>
      <c r="H86" s="8">
        <f>H85+H84</f>
        <v>3808420</v>
      </c>
      <c r="I86" s="7">
        <f t="shared" si="112"/>
        <v>-15.5124726477024</v>
      </c>
      <c r="J86" s="10" t="s">
        <v>1</v>
      </c>
      <c r="K86" s="7">
        <f t="shared" si="113"/>
        <v>-17.547570541229245</v>
      </c>
      <c r="L86" s="7"/>
      <c r="M86" s="5">
        <f>M85+M84</f>
        <v>10676.4</v>
      </c>
      <c r="N86" s="6" t="s">
        <v>1</v>
      </c>
      <c r="O86" s="8">
        <f>O85+O84</f>
        <v>3869370</v>
      </c>
      <c r="P86" s="7">
        <f t="shared" si="114"/>
        <v>10.605322863033129</v>
      </c>
      <c r="Q86" s="10" t="s">
        <v>1</v>
      </c>
      <c r="R86" s="7">
        <f t="shared" si="115"/>
        <v>1.600401216252409</v>
      </c>
      <c r="S86" s="7"/>
      <c r="T86" s="5">
        <f>T85+T84</f>
        <v>12737.4</v>
      </c>
      <c r="U86" s="6" t="s">
        <v>1</v>
      </c>
      <c r="V86" s="8">
        <f>V85+V84</f>
        <v>6260240</v>
      </c>
      <c r="W86" s="7">
        <f t="shared" si="116"/>
        <v>19.304259862875128</v>
      </c>
      <c r="X86" s="10" t="s">
        <v>1</v>
      </c>
      <c r="Y86" s="7">
        <f t="shared" si="117"/>
        <v>61.7896453427819</v>
      </c>
      <c r="Z86" s="7"/>
      <c r="AA86" s="5">
        <f>AA85+AA84</f>
        <v>14576.5</v>
      </c>
      <c r="AB86" s="6" t="s">
        <v>1</v>
      </c>
      <c r="AC86" s="8">
        <f>AC85+AC84</f>
        <v>7904260</v>
      </c>
      <c r="AD86" s="7">
        <f t="shared" si="118"/>
        <v>14.438582442256665</v>
      </c>
      <c r="AE86" s="10" t="s">
        <v>1</v>
      </c>
      <c r="AF86" s="7">
        <f t="shared" si="119"/>
        <v>26.26129349673495</v>
      </c>
      <c r="AG86" s="7"/>
      <c r="AH86" s="5">
        <f>AH85+AH84</f>
        <v>13206.6</v>
      </c>
      <c r="AI86" s="10" t="s">
        <v>1</v>
      </c>
      <c r="AJ86" s="8">
        <f>AJ85+AJ84</f>
        <v>7039300</v>
      </c>
      <c r="AK86" s="7">
        <f t="shared" si="120"/>
        <v>-9.398003635989433</v>
      </c>
      <c r="AL86" s="10" t="s">
        <v>1</v>
      </c>
      <c r="AM86" s="7">
        <f t="shared" si="121"/>
        <v>-10.942959872271407</v>
      </c>
      <c r="AN86" s="7"/>
      <c r="AO86" s="5">
        <f>AO85+AO84</f>
        <v>30055</v>
      </c>
      <c r="AP86" s="10" t="s">
        <v>1</v>
      </c>
      <c r="AQ86" s="8">
        <f>AQ85+AQ84</f>
        <v>7368320</v>
      </c>
      <c r="AR86" s="7">
        <f t="shared" si="122"/>
        <v>127.57560613632577</v>
      </c>
      <c r="AS86" s="10" t="s">
        <v>1</v>
      </c>
      <c r="AT86" s="7">
        <f t="shared" si="123"/>
        <v>4.674044294176978</v>
      </c>
      <c r="AU86" s="7"/>
      <c r="AV86" s="5">
        <f>AV85+AV84</f>
        <v>29907</v>
      </c>
      <c r="AW86" s="10" t="s">
        <v>1</v>
      </c>
      <c r="AX86" s="8">
        <f>AX85+AX84</f>
        <v>6743430</v>
      </c>
      <c r="AY86" s="7">
        <f t="shared" si="124"/>
        <v>-0.4924305440026618</v>
      </c>
      <c r="AZ86" s="10" t="s">
        <v>1</v>
      </c>
      <c r="BA86" s="7">
        <f t="shared" si="125"/>
        <v>-8.48076630765222</v>
      </c>
      <c r="BB86" s="7"/>
      <c r="BC86" s="5">
        <f>BC85+BC84</f>
        <v>29687</v>
      </c>
      <c r="BD86" s="10" t="s">
        <v>1</v>
      </c>
      <c r="BE86" s="8">
        <f>BE85+BE84</f>
        <v>7532090</v>
      </c>
      <c r="BF86" s="7">
        <f t="shared" si="104"/>
        <v>-0.7356137359146688</v>
      </c>
      <c r="BG86" s="10" t="s">
        <v>1</v>
      </c>
      <c r="BH86" s="7">
        <f t="shared" si="105"/>
        <v>11.695235214126935</v>
      </c>
      <c r="BI86" s="7"/>
      <c r="BJ86" s="13">
        <f>BJ85+BJ84</f>
        <v>14846.35</v>
      </c>
      <c r="BK86" s="10" t="s">
        <v>1</v>
      </c>
      <c r="BL86" s="8">
        <f>BL85+BL84</f>
        <v>8994031</v>
      </c>
      <c r="BM86" s="7">
        <f t="shared" si="106"/>
        <v>-49.99039983831307</v>
      </c>
      <c r="BN86" s="10" t="s">
        <v>1</v>
      </c>
      <c r="BO86" s="7">
        <f t="shared" si="107"/>
        <v>19.40949988648569</v>
      </c>
      <c r="BP86" s="7"/>
      <c r="BQ86" s="5">
        <f>BQ85+BQ84</f>
        <v>14611.78</v>
      </c>
      <c r="BR86" s="10" t="s">
        <v>1</v>
      </c>
      <c r="BS86" s="8">
        <f>BS85+BS84</f>
        <v>8459166</v>
      </c>
      <c r="BT86" s="7">
        <f t="shared" si="108"/>
        <v>-1.579984305906837</v>
      </c>
      <c r="BU86" s="10" t="s">
        <v>1</v>
      </c>
      <c r="BV86" s="7">
        <f t="shared" si="109"/>
        <v>-5.94688855308593</v>
      </c>
    </row>
    <row r="87" spans="1:74" ht="12">
      <c r="A87" s="1" t="s">
        <v>73</v>
      </c>
      <c r="B87" s="5">
        <v>80</v>
      </c>
      <c r="C87" s="7">
        <v>340</v>
      </c>
      <c r="D87" s="8">
        <v>27200</v>
      </c>
      <c r="E87" s="8"/>
      <c r="F87" s="5">
        <v>65</v>
      </c>
      <c r="G87" s="7">
        <v>337.6</v>
      </c>
      <c r="H87" s="8">
        <v>21900</v>
      </c>
      <c r="I87" s="7">
        <f t="shared" si="112"/>
        <v>-18.75</v>
      </c>
      <c r="J87" s="7">
        <f>G87*100/C87-100</f>
        <v>-0.7058823529411697</v>
      </c>
      <c r="K87" s="7">
        <f t="shared" si="113"/>
        <v>-19.485294117647058</v>
      </c>
      <c r="L87" s="7"/>
      <c r="M87" s="5">
        <v>80</v>
      </c>
      <c r="N87" s="7">
        <v>340</v>
      </c>
      <c r="O87" s="8">
        <v>27200</v>
      </c>
      <c r="P87" s="7">
        <f t="shared" si="114"/>
        <v>23.076923076923077</v>
      </c>
      <c r="Q87" s="7">
        <f>N87*100/G87-100</f>
        <v>0.7109004739336425</v>
      </c>
      <c r="R87" s="7">
        <f t="shared" si="115"/>
        <v>24.200913242009133</v>
      </c>
      <c r="S87" s="7"/>
      <c r="T87" s="5">
        <v>80</v>
      </c>
      <c r="U87" s="7">
        <v>338.7</v>
      </c>
      <c r="V87" s="8">
        <v>27100</v>
      </c>
      <c r="W87" s="7">
        <f t="shared" si="116"/>
        <v>0</v>
      </c>
      <c r="X87" s="7">
        <f>U87*100/N87-100</f>
        <v>-0.38235294117647395</v>
      </c>
      <c r="Y87" s="7">
        <f t="shared" si="117"/>
        <v>-0.36764705882352944</v>
      </c>
      <c r="Z87" s="7"/>
      <c r="AA87" s="5">
        <v>60</v>
      </c>
      <c r="AB87" s="7">
        <v>340</v>
      </c>
      <c r="AC87" s="8">
        <v>20400</v>
      </c>
      <c r="AD87" s="7">
        <f t="shared" si="118"/>
        <v>-25</v>
      </c>
      <c r="AE87" s="7">
        <f>AB87*100/U87-100</f>
        <v>0.38382049010924457</v>
      </c>
      <c r="AF87" s="7">
        <f t="shared" si="119"/>
        <v>-24.723247232472325</v>
      </c>
      <c r="AG87" s="7"/>
      <c r="AH87" s="5">
        <v>60</v>
      </c>
      <c r="AI87" s="7">
        <v>340</v>
      </c>
      <c r="AJ87" s="8">
        <v>20400</v>
      </c>
      <c r="AK87" s="7">
        <f t="shared" si="120"/>
        <v>0</v>
      </c>
      <c r="AL87" s="7">
        <f>AI87*100/AB87-100</f>
        <v>0</v>
      </c>
      <c r="AM87" s="7">
        <f t="shared" si="121"/>
        <v>0</v>
      </c>
      <c r="AN87" s="7"/>
      <c r="AO87" s="5">
        <v>60</v>
      </c>
      <c r="AP87" s="7">
        <v>350</v>
      </c>
      <c r="AQ87" s="8">
        <v>21000</v>
      </c>
      <c r="AR87" s="7">
        <f t="shared" si="122"/>
        <v>0</v>
      </c>
      <c r="AS87" s="7">
        <f>AP87*100/AI87-100</f>
        <v>2.9411764705882355</v>
      </c>
      <c r="AT87" s="7">
        <f t="shared" si="123"/>
        <v>2.9411764705882355</v>
      </c>
      <c r="AU87" s="7"/>
      <c r="AV87" s="5">
        <v>50</v>
      </c>
      <c r="AW87" s="7">
        <v>350</v>
      </c>
      <c r="AX87" s="8">
        <v>17500</v>
      </c>
      <c r="AY87" s="7">
        <f t="shared" si="124"/>
        <v>-16.666666666666668</v>
      </c>
      <c r="AZ87" s="7">
        <f>AW87*100/AP87-100</f>
        <v>0</v>
      </c>
      <c r="BA87" s="7">
        <f t="shared" si="125"/>
        <v>-16.666666666666668</v>
      </c>
      <c r="BB87" s="7"/>
      <c r="BC87" s="5">
        <v>46</v>
      </c>
      <c r="BD87" s="7">
        <v>350</v>
      </c>
      <c r="BE87" s="8">
        <v>16100</v>
      </c>
      <c r="BF87" s="7">
        <f t="shared" si="104"/>
        <v>-8</v>
      </c>
      <c r="BG87" s="7">
        <f>BD87*100/AW87-100</f>
        <v>0</v>
      </c>
      <c r="BH87" s="7">
        <f t="shared" si="105"/>
        <v>-8</v>
      </c>
      <c r="BI87" s="7"/>
      <c r="BJ87" s="5">
        <v>45</v>
      </c>
      <c r="BK87" s="7">
        <f>BL87/BJ87</f>
        <v>360</v>
      </c>
      <c r="BL87" s="8">
        <v>16200</v>
      </c>
      <c r="BM87" s="7">
        <f t="shared" si="106"/>
        <v>-2.1739130434782608</v>
      </c>
      <c r="BN87" s="7">
        <f>BK87*100/BD87-100</f>
        <v>2.857142857142857</v>
      </c>
      <c r="BO87" s="7">
        <f t="shared" si="107"/>
        <v>0.6211180124223602</v>
      </c>
      <c r="BP87" s="7"/>
      <c r="BQ87" s="5">
        <v>45</v>
      </c>
      <c r="BR87" s="7">
        <f>BS87/BQ87</f>
        <v>340</v>
      </c>
      <c r="BS87" s="8">
        <v>15300</v>
      </c>
      <c r="BT87" s="7">
        <f t="shared" si="108"/>
        <v>0</v>
      </c>
      <c r="BU87" s="7">
        <f>BR87*100/BK87-100</f>
        <v>-5.555555555555555</v>
      </c>
      <c r="BV87" s="7">
        <f t="shared" si="109"/>
        <v>-5.555555555555555</v>
      </c>
    </row>
    <row r="88" spans="1:74" ht="12">
      <c r="A88" s="1" t="s">
        <v>74</v>
      </c>
      <c r="B88" s="5">
        <v>32</v>
      </c>
      <c r="C88" s="7">
        <v>200</v>
      </c>
      <c r="D88" s="8">
        <v>6300</v>
      </c>
      <c r="E88" s="8"/>
      <c r="F88" s="5">
        <v>32</v>
      </c>
      <c r="G88" s="7">
        <v>215.7</v>
      </c>
      <c r="H88" s="8">
        <v>6400</v>
      </c>
      <c r="I88" s="7">
        <f t="shared" si="112"/>
        <v>0</v>
      </c>
      <c r="J88" s="7">
        <f>G88*100/C88-100</f>
        <v>7.849999999999994</v>
      </c>
      <c r="K88" s="7">
        <f t="shared" si="113"/>
        <v>1.5873015873015872</v>
      </c>
      <c r="L88" s="7"/>
      <c r="M88" s="5">
        <v>34</v>
      </c>
      <c r="N88" s="7">
        <v>221.8</v>
      </c>
      <c r="O88" s="8">
        <v>7100</v>
      </c>
      <c r="P88" s="7">
        <f t="shared" si="114"/>
        <v>6.25</v>
      </c>
      <c r="Q88" s="7">
        <f>N88*100/G88-100</f>
        <v>2.8280018544274563</v>
      </c>
      <c r="R88" s="7">
        <f t="shared" si="115"/>
        <v>10.9375</v>
      </c>
      <c r="S88" s="7"/>
      <c r="T88" s="5">
        <v>37</v>
      </c>
      <c r="U88" s="7">
        <v>219.7</v>
      </c>
      <c r="V88" s="8">
        <v>7700</v>
      </c>
      <c r="W88" s="7">
        <f t="shared" si="116"/>
        <v>8.823529411764707</v>
      </c>
      <c r="X88" s="7">
        <f>U88*100/N88-100</f>
        <v>-0.946798917944104</v>
      </c>
      <c r="Y88" s="7">
        <f t="shared" si="117"/>
        <v>8.450704225352112</v>
      </c>
      <c r="Z88" s="7"/>
      <c r="AA88" s="5">
        <v>37</v>
      </c>
      <c r="AB88" s="7">
        <v>216.2</v>
      </c>
      <c r="AC88" s="8">
        <v>7600</v>
      </c>
      <c r="AD88" s="7">
        <f t="shared" si="118"/>
        <v>0</v>
      </c>
      <c r="AE88" s="7">
        <f>AB88*100/U88-100</f>
        <v>-1.5930814747382795</v>
      </c>
      <c r="AF88" s="7">
        <f t="shared" si="119"/>
        <v>-1.2987012987012987</v>
      </c>
      <c r="AG88" s="7"/>
      <c r="AH88" s="5">
        <v>39</v>
      </c>
      <c r="AI88" s="7">
        <v>225.7</v>
      </c>
      <c r="AJ88" s="8">
        <v>8300</v>
      </c>
      <c r="AK88" s="7">
        <f t="shared" si="120"/>
        <v>5.405405405405405</v>
      </c>
      <c r="AL88" s="7">
        <f>AI88*100/AB88-100</f>
        <v>4.394079555966698</v>
      </c>
      <c r="AM88" s="7">
        <f t="shared" si="121"/>
        <v>9.210526315789474</v>
      </c>
      <c r="AN88" s="7"/>
      <c r="AO88" s="5">
        <v>47</v>
      </c>
      <c r="AP88" s="7">
        <v>229.8</v>
      </c>
      <c r="AQ88" s="8">
        <v>10500</v>
      </c>
      <c r="AR88" s="7">
        <f t="shared" si="122"/>
        <v>20.512820512820515</v>
      </c>
      <c r="AS88" s="7">
        <f>AP88*100/AI88-100</f>
        <v>1.8165706690296957</v>
      </c>
      <c r="AT88" s="7">
        <f t="shared" si="123"/>
        <v>26.50602409638554</v>
      </c>
      <c r="AU88" s="7"/>
      <c r="AV88" s="5">
        <v>32</v>
      </c>
      <c r="AW88" s="7">
        <v>215.6</v>
      </c>
      <c r="AX88" s="8">
        <v>6600</v>
      </c>
      <c r="AY88" s="7">
        <f t="shared" si="124"/>
        <v>-31.914893617021278</v>
      </c>
      <c r="AZ88" s="7">
        <f>AW88*100/AP88-100</f>
        <v>-6.179286335944306</v>
      </c>
      <c r="BA88" s="7">
        <f t="shared" si="125"/>
        <v>-37.142857142857146</v>
      </c>
      <c r="BB88" s="7"/>
      <c r="BC88" s="5">
        <v>32</v>
      </c>
      <c r="BD88" s="7">
        <v>207.5</v>
      </c>
      <c r="BE88" s="8">
        <v>6400</v>
      </c>
      <c r="BF88" s="7">
        <f t="shared" si="104"/>
        <v>0</v>
      </c>
      <c r="BG88" s="7">
        <f>BD88*100/AW88-100</f>
        <v>-3.7569573283858975</v>
      </c>
      <c r="BH88" s="7">
        <f t="shared" si="105"/>
        <v>-3.0303030303030303</v>
      </c>
      <c r="BI88" s="7"/>
      <c r="BJ88" s="5">
        <v>30</v>
      </c>
      <c r="BK88" s="7">
        <f>6300/BJ88</f>
        <v>210</v>
      </c>
      <c r="BL88" s="8">
        <v>5900</v>
      </c>
      <c r="BM88" s="7">
        <f t="shared" si="106"/>
        <v>-6.25</v>
      </c>
      <c r="BN88" s="7">
        <f>BK88*100/BD88-100</f>
        <v>1.2048192771084338</v>
      </c>
      <c r="BO88" s="7">
        <f t="shared" si="107"/>
        <v>-7.8125</v>
      </c>
      <c r="BP88" s="7"/>
      <c r="BQ88" s="5">
        <v>31</v>
      </c>
      <c r="BR88" s="7">
        <f>BS88/BQ88</f>
        <v>193.5483870967742</v>
      </c>
      <c r="BS88" s="8">
        <v>6000</v>
      </c>
      <c r="BT88" s="7">
        <f t="shared" si="108"/>
        <v>3.3333333333333335</v>
      </c>
      <c r="BU88" s="7">
        <f>BR88*100/BK88-100</f>
        <v>-7.834101382488473</v>
      </c>
      <c r="BV88" s="7">
        <f t="shared" si="109"/>
        <v>1.694915254237288</v>
      </c>
    </row>
    <row r="89" spans="1:74" ht="12">
      <c r="A89" s="1" t="s">
        <v>75</v>
      </c>
      <c r="B89" s="12">
        <v>0.8</v>
      </c>
      <c r="C89" s="7">
        <f>160/B89</f>
        <v>200</v>
      </c>
      <c r="D89" s="8">
        <v>160</v>
      </c>
      <c r="E89" s="8"/>
      <c r="F89" s="12">
        <v>1</v>
      </c>
      <c r="G89" s="7">
        <f>200/F89</f>
        <v>200</v>
      </c>
      <c r="H89" s="8">
        <v>190</v>
      </c>
      <c r="I89" s="7">
        <f t="shared" si="112"/>
        <v>24.999999999999993</v>
      </c>
      <c r="J89" s="7">
        <f>G89*100/C89-100</f>
        <v>0</v>
      </c>
      <c r="K89" s="7">
        <f t="shared" si="113"/>
        <v>18.75</v>
      </c>
      <c r="L89" s="7"/>
      <c r="M89" s="14" t="s">
        <v>1</v>
      </c>
      <c r="N89" s="14" t="s">
        <v>1</v>
      </c>
      <c r="O89" s="9" t="s">
        <v>1</v>
      </c>
      <c r="P89" s="10" t="s">
        <v>1</v>
      </c>
      <c r="Q89" s="10" t="s">
        <v>1</v>
      </c>
      <c r="R89" s="10" t="s">
        <v>1</v>
      </c>
      <c r="S89" s="10"/>
      <c r="T89" s="6" t="s">
        <v>1</v>
      </c>
      <c r="U89" s="6" t="s">
        <v>1</v>
      </c>
      <c r="V89" s="9" t="s">
        <v>1</v>
      </c>
      <c r="W89" s="6" t="s">
        <v>1</v>
      </c>
      <c r="X89" s="6" t="s">
        <v>1</v>
      </c>
      <c r="Y89" s="6" t="s">
        <v>1</v>
      </c>
      <c r="Z89" s="6"/>
      <c r="AA89" s="5">
        <v>1</v>
      </c>
      <c r="AB89" s="7">
        <v>200</v>
      </c>
      <c r="AC89" s="8">
        <v>190</v>
      </c>
      <c r="AD89" s="7" t="e">
        <f t="shared" si="118"/>
        <v>#VALUE!</v>
      </c>
      <c r="AE89" s="7" t="e">
        <f>AB89*100/U89-100</f>
        <v>#VALUE!</v>
      </c>
      <c r="AF89" s="7" t="e">
        <f t="shared" si="119"/>
        <v>#VALUE!</v>
      </c>
      <c r="AG89" s="7"/>
      <c r="AH89" s="5">
        <v>150</v>
      </c>
      <c r="AI89" s="7">
        <v>200</v>
      </c>
      <c r="AJ89" s="8">
        <v>300</v>
      </c>
      <c r="AK89" s="7">
        <f t="shared" si="120"/>
        <v>14900</v>
      </c>
      <c r="AL89" s="7">
        <f>AI89*100/AB89-100</f>
        <v>0</v>
      </c>
      <c r="AM89" s="7">
        <f t="shared" si="121"/>
        <v>57.89473684210526</v>
      </c>
      <c r="AN89" s="7"/>
      <c r="AO89" s="5">
        <v>180</v>
      </c>
      <c r="AP89" s="7">
        <v>200</v>
      </c>
      <c r="AQ89" s="8">
        <v>320</v>
      </c>
      <c r="AR89" s="7">
        <f t="shared" si="122"/>
        <v>20</v>
      </c>
      <c r="AS89" s="7">
        <f>AP89*100/AI89-100</f>
        <v>0</v>
      </c>
      <c r="AT89" s="7">
        <f t="shared" si="123"/>
        <v>6.666666666666667</v>
      </c>
      <c r="AU89" s="7"/>
      <c r="AV89" s="5">
        <v>194</v>
      </c>
      <c r="AW89" s="7">
        <v>195.9</v>
      </c>
      <c r="AX89" s="8">
        <v>340</v>
      </c>
      <c r="AY89" s="7">
        <f t="shared" si="124"/>
        <v>7.777777777777778</v>
      </c>
      <c r="AZ89" s="7">
        <f>AW89*100/AP89-100</f>
        <v>-2.049999999999997</v>
      </c>
      <c r="BA89" s="7">
        <f t="shared" si="125"/>
        <v>6.25</v>
      </c>
      <c r="BB89" s="7"/>
      <c r="BC89" s="5">
        <v>188</v>
      </c>
      <c r="BD89" s="7">
        <v>196.8</v>
      </c>
      <c r="BE89" s="8">
        <v>310</v>
      </c>
      <c r="BF89" s="7">
        <f t="shared" si="104"/>
        <v>-3.0927835051546393</v>
      </c>
      <c r="BG89" s="7">
        <f>BD89*100/AW89-100</f>
        <v>0.45941807044410704</v>
      </c>
      <c r="BH89" s="7">
        <f t="shared" si="105"/>
        <v>-8.823529411764707</v>
      </c>
      <c r="BI89" s="7"/>
      <c r="BJ89" s="12">
        <v>1.8</v>
      </c>
      <c r="BK89" s="7">
        <v>200</v>
      </c>
      <c r="BL89" s="8">
        <v>360</v>
      </c>
      <c r="BM89" s="7">
        <f t="shared" si="106"/>
        <v>-99.04255319148936</v>
      </c>
      <c r="BN89" s="7">
        <f>BK89*100/BD89-100</f>
        <v>1.6260162601625958</v>
      </c>
      <c r="BO89" s="7">
        <f t="shared" si="107"/>
        <v>16.129032258064516</v>
      </c>
      <c r="BP89" s="7"/>
      <c r="BQ89" s="12">
        <v>1.8</v>
      </c>
      <c r="BR89" s="7">
        <v>200</v>
      </c>
      <c r="BS89" s="8">
        <v>360</v>
      </c>
      <c r="BT89" s="7">
        <f t="shared" si="108"/>
        <v>0</v>
      </c>
      <c r="BU89" s="7">
        <f>BR89*100/BK89-100</f>
        <v>0</v>
      </c>
      <c r="BV89" s="7">
        <f t="shared" si="109"/>
        <v>0</v>
      </c>
    </row>
    <row r="90" spans="1:74" ht="12">
      <c r="A90" s="1" t="s">
        <v>8</v>
      </c>
      <c r="B90" s="5">
        <f>B89+B88</f>
        <v>32.8</v>
      </c>
      <c r="C90" s="10" t="s">
        <v>1</v>
      </c>
      <c r="D90" s="8">
        <f>D89+D88</f>
        <v>6460</v>
      </c>
      <c r="E90" s="8"/>
      <c r="F90" s="5">
        <f>F89+F88</f>
        <v>33</v>
      </c>
      <c r="G90" s="10" t="s">
        <v>1</v>
      </c>
      <c r="H90" s="8">
        <f>H89+H88</f>
        <v>6590</v>
      </c>
      <c r="I90" s="7">
        <f t="shared" si="112"/>
        <v>0.6097560975609844</v>
      </c>
      <c r="J90" s="10" t="s">
        <v>1</v>
      </c>
      <c r="K90" s="7">
        <f t="shared" si="113"/>
        <v>2.0123839009287927</v>
      </c>
      <c r="L90" s="7"/>
      <c r="M90" s="5">
        <f>SUM(M88:M89)</f>
        <v>34</v>
      </c>
      <c r="N90" s="6" t="s">
        <v>1</v>
      </c>
      <c r="O90" s="8">
        <f>SUM(O88:O89)</f>
        <v>7100</v>
      </c>
      <c r="P90" s="7">
        <f aca="true" t="shared" si="126" ref="P90:P106">M90*100/F90-100</f>
        <v>3.0303030303030303</v>
      </c>
      <c r="Q90" s="10" t="s">
        <v>1</v>
      </c>
      <c r="R90" s="7">
        <f aca="true" t="shared" si="127" ref="R90:R106">O90*100/H90-100</f>
        <v>7.738998482549317</v>
      </c>
      <c r="S90" s="7"/>
      <c r="T90" s="5">
        <f>T89+T88</f>
        <v>37</v>
      </c>
      <c r="U90" s="6" t="s">
        <v>1</v>
      </c>
      <c r="V90" s="8">
        <f>V89+V88</f>
        <v>7700</v>
      </c>
      <c r="W90" s="7">
        <f aca="true" t="shared" si="128" ref="W90:W106">T90*100/M90-100</f>
        <v>8.823529411764707</v>
      </c>
      <c r="X90" s="10" t="s">
        <v>1</v>
      </c>
      <c r="Y90" s="7">
        <f aca="true" t="shared" si="129" ref="Y90:Y106">V90*100/O90-100</f>
        <v>8.450704225352112</v>
      </c>
      <c r="Z90" s="7"/>
      <c r="AA90" s="5">
        <f>AA89+AA88</f>
        <v>38</v>
      </c>
      <c r="AB90" s="6" t="s">
        <v>1</v>
      </c>
      <c r="AC90" s="8">
        <f>AC89+AC88</f>
        <v>7790</v>
      </c>
      <c r="AD90" s="7">
        <f t="shared" si="118"/>
        <v>2.7027027027027026</v>
      </c>
      <c r="AE90" s="10" t="s">
        <v>1</v>
      </c>
      <c r="AF90" s="7">
        <f t="shared" si="119"/>
        <v>1.1688311688311688</v>
      </c>
      <c r="AG90" s="7"/>
      <c r="AH90" s="5">
        <f>AH89+AH88</f>
        <v>189</v>
      </c>
      <c r="AI90" s="10" t="s">
        <v>1</v>
      </c>
      <c r="AJ90" s="8">
        <f>AJ89+AJ88</f>
        <v>8600</v>
      </c>
      <c r="AK90" s="7">
        <f t="shared" si="120"/>
        <v>397.36842105263156</v>
      </c>
      <c r="AL90" s="10" t="s">
        <v>1</v>
      </c>
      <c r="AM90" s="7">
        <f t="shared" si="121"/>
        <v>10.397946084724005</v>
      </c>
      <c r="AN90" s="7"/>
      <c r="AO90" s="5">
        <f>AO89+AO88</f>
        <v>227</v>
      </c>
      <c r="AP90" s="10" t="s">
        <v>1</v>
      </c>
      <c r="AQ90" s="8">
        <f>AQ89+AQ88</f>
        <v>10820</v>
      </c>
      <c r="AR90" s="7">
        <f t="shared" si="122"/>
        <v>20.105820105820104</v>
      </c>
      <c r="AS90" s="10" t="s">
        <v>1</v>
      </c>
      <c r="AT90" s="7">
        <f t="shared" si="123"/>
        <v>25.813953488372093</v>
      </c>
      <c r="AU90" s="7"/>
      <c r="AV90" s="5">
        <f>AV89+AV88</f>
        <v>226</v>
      </c>
      <c r="AW90" s="10" t="s">
        <v>1</v>
      </c>
      <c r="AX90" s="8">
        <f>AX89+AX88</f>
        <v>6940</v>
      </c>
      <c r="AY90" s="7">
        <f t="shared" si="124"/>
        <v>-0.44052863436123346</v>
      </c>
      <c r="AZ90" s="10" t="s">
        <v>1</v>
      </c>
      <c r="BA90" s="7">
        <f t="shared" si="125"/>
        <v>-35.85951940850277</v>
      </c>
      <c r="BB90" s="7"/>
      <c r="BC90" s="5">
        <f>BC89+BC88</f>
        <v>220</v>
      </c>
      <c r="BD90" s="10" t="s">
        <v>1</v>
      </c>
      <c r="BE90" s="8">
        <f>BE89+BE88</f>
        <v>6710</v>
      </c>
      <c r="BF90" s="7">
        <f t="shared" si="104"/>
        <v>-2.6548672566371683</v>
      </c>
      <c r="BG90" s="10" t="s">
        <v>1</v>
      </c>
      <c r="BH90" s="7">
        <f t="shared" si="105"/>
        <v>-3.314121037463977</v>
      </c>
      <c r="BI90" s="7"/>
      <c r="BJ90" s="5">
        <f>BJ89+BJ88</f>
        <v>31.8</v>
      </c>
      <c r="BK90" s="10" t="s">
        <v>1</v>
      </c>
      <c r="BL90" s="8">
        <f>BL89+BL88</f>
        <v>6260</v>
      </c>
      <c r="BM90" s="7">
        <f t="shared" si="106"/>
        <v>-85.54545454545455</v>
      </c>
      <c r="BN90" s="10" t="s">
        <v>1</v>
      </c>
      <c r="BO90" s="7">
        <f t="shared" si="107"/>
        <v>-6.7064083457526085</v>
      </c>
      <c r="BP90" s="7"/>
      <c r="BQ90" s="5">
        <f>BQ89+BQ88</f>
        <v>32.8</v>
      </c>
      <c r="BR90" s="10" t="s">
        <v>1</v>
      </c>
      <c r="BS90" s="8">
        <f>BS89+BS88</f>
        <v>6360</v>
      </c>
      <c r="BT90" s="7">
        <f t="shared" si="108"/>
        <v>3.144654088050303</v>
      </c>
      <c r="BU90" s="10" t="s">
        <v>1</v>
      </c>
      <c r="BV90" s="7">
        <f t="shared" si="109"/>
        <v>1.597444089456869</v>
      </c>
    </row>
    <row r="91" spans="1:74" ht="12">
      <c r="A91" s="1" t="s">
        <v>76</v>
      </c>
      <c r="B91" s="5">
        <v>275</v>
      </c>
      <c r="C91" s="7">
        <v>211.9</v>
      </c>
      <c r="D91" s="8">
        <v>57500</v>
      </c>
      <c r="E91" s="8"/>
      <c r="F91" s="5">
        <v>274</v>
      </c>
      <c r="G91" s="7">
        <v>212.5</v>
      </c>
      <c r="H91" s="8">
        <v>56600</v>
      </c>
      <c r="I91" s="7">
        <f t="shared" si="112"/>
        <v>-0.36363636363636365</v>
      </c>
      <c r="J91" s="7">
        <f>G91*100/C91-100</f>
        <v>0.2831524303916915</v>
      </c>
      <c r="K91" s="7">
        <f t="shared" si="113"/>
        <v>-1.565217391304348</v>
      </c>
      <c r="L91" s="7"/>
      <c r="M91" s="5">
        <v>294</v>
      </c>
      <c r="N91" s="7">
        <v>216</v>
      </c>
      <c r="O91" s="8">
        <v>61900</v>
      </c>
      <c r="P91" s="7">
        <f t="shared" si="126"/>
        <v>7.299270072992701</v>
      </c>
      <c r="Q91" s="7">
        <f>N91*100/G91-100</f>
        <v>1.6470588235294117</v>
      </c>
      <c r="R91" s="7">
        <f t="shared" si="127"/>
        <v>9.363957597173146</v>
      </c>
      <c r="S91" s="7"/>
      <c r="T91" s="5">
        <v>308</v>
      </c>
      <c r="U91" s="7">
        <v>209.3</v>
      </c>
      <c r="V91" s="8">
        <v>63000</v>
      </c>
      <c r="W91" s="7">
        <f t="shared" si="128"/>
        <v>4.761904761904762</v>
      </c>
      <c r="X91" s="7">
        <f>U91*100/N91-100</f>
        <v>-3.1018518518518468</v>
      </c>
      <c r="Y91" s="7">
        <f t="shared" si="129"/>
        <v>1.7770597738287561</v>
      </c>
      <c r="Z91" s="7"/>
      <c r="AA91" s="5">
        <v>315</v>
      </c>
      <c r="AB91" s="7">
        <v>214.6</v>
      </c>
      <c r="AC91" s="8">
        <v>66300</v>
      </c>
      <c r="AD91" s="7">
        <f t="shared" si="118"/>
        <v>2.272727272727273</v>
      </c>
      <c r="AE91" s="7">
        <f>AB91*100/U91-100</f>
        <v>2.5322503583373064</v>
      </c>
      <c r="AF91" s="7">
        <f t="shared" si="119"/>
        <v>5.238095238095238</v>
      </c>
      <c r="AG91" s="7"/>
      <c r="AH91" s="5">
        <v>292</v>
      </c>
      <c r="AI91" s="7">
        <v>219.2</v>
      </c>
      <c r="AJ91" s="8">
        <v>63500</v>
      </c>
      <c r="AK91" s="7">
        <f t="shared" si="120"/>
        <v>-7.301587301587301</v>
      </c>
      <c r="AL91" s="7">
        <f>AI91*100/AB91-100</f>
        <v>2.143522833178003</v>
      </c>
      <c r="AM91" s="7">
        <f t="shared" si="121"/>
        <v>-4.223227752639517</v>
      </c>
      <c r="AN91" s="7"/>
      <c r="AO91" s="5">
        <v>312</v>
      </c>
      <c r="AP91" s="7">
        <v>221.2</v>
      </c>
      <c r="AQ91" s="8">
        <v>68400</v>
      </c>
      <c r="AR91" s="7">
        <f t="shared" si="122"/>
        <v>6.8493150684931505</v>
      </c>
      <c r="AS91" s="7">
        <f>AP91*100/AI91-100</f>
        <v>0.9124087591240876</v>
      </c>
      <c r="AT91" s="7">
        <f t="shared" si="123"/>
        <v>7.716535433070866</v>
      </c>
      <c r="AU91" s="7"/>
      <c r="AV91" s="5">
        <v>305</v>
      </c>
      <c r="AW91" s="7">
        <v>210.8</v>
      </c>
      <c r="AX91" s="8">
        <v>63600</v>
      </c>
      <c r="AY91" s="7">
        <f t="shared" si="124"/>
        <v>-2.2435897435897436</v>
      </c>
      <c r="AZ91" s="7">
        <f>AW91*100/AP91-100</f>
        <v>-4.701627486437603</v>
      </c>
      <c r="BA91" s="7">
        <f t="shared" si="125"/>
        <v>-7.017543859649122</v>
      </c>
      <c r="BB91" s="7"/>
      <c r="BC91" s="5">
        <v>297</v>
      </c>
      <c r="BD91" s="7">
        <v>207.1</v>
      </c>
      <c r="BE91" s="8">
        <v>61000</v>
      </c>
      <c r="BF91" s="7">
        <f t="shared" si="104"/>
        <v>-2.622950819672131</v>
      </c>
      <c r="BG91" s="7">
        <f>BD91*100/AW91-100</f>
        <v>-1.7552182163187935</v>
      </c>
      <c r="BH91" s="7">
        <f t="shared" si="105"/>
        <v>-4.088050314465409</v>
      </c>
      <c r="BI91" s="7"/>
      <c r="BJ91" s="5">
        <v>270</v>
      </c>
      <c r="BK91" s="7">
        <v>202</v>
      </c>
      <c r="BL91" s="8">
        <v>54000</v>
      </c>
      <c r="BM91" s="7">
        <f t="shared" si="106"/>
        <v>-9.090909090909092</v>
      </c>
      <c r="BN91" s="7">
        <f>BK91*100/BD91-100</f>
        <v>-2.462578464509896</v>
      </c>
      <c r="BO91" s="7">
        <f t="shared" si="107"/>
        <v>-11.475409836065573</v>
      </c>
      <c r="BP91" s="7"/>
      <c r="BQ91" s="5">
        <v>332</v>
      </c>
      <c r="BR91" s="7">
        <v>213.2</v>
      </c>
      <c r="BS91" s="8">
        <v>58300</v>
      </c>
      <c r="BT91" s="7">
        <f t="shared" si="108"/>
        <v>22.962962962962962</v>
      </c>
      <c r="BU91" s="7">
        <f>BR91*100/BK91-100</f>
        <v>5.544554455445539</v>
      </c>
      <c r="BV91" s="7">
        <f t="shared" si="109"/>
        <v>7.962962962962963</v>
      </c>
    </row>
    <row r="92" spans="1:74" ht="12">
      <c r="A92" s="1" t="s">
        <v>77</v>
      </c>
      <c r="B92" s="12">
        <v>3.6</v>
      </c>
      <c r="C92" s="7">
        <f>800/B92</f>
        <v>222.22222222222223</v>
      </c>
      <c r="D92" s="8">
        <v>740</v>
      </c>
      <c r="E92" s="8"/>
      <c r="F92" s="12">
        <v>4.2</v>
      </c>
      <c r="G92" s="7">
        <f>1100/F92</f>
        <v>261.90476190476187</v>
      </c>
      <c r="H92" s="8">
        <v>1020</v>
      </c>
      <c r="I92" s="7">
        <f t="shared" si="112"/>
        <v>16.666666666666668</v>
      </c>
      <c r="J92" s="7">
        <f>G92*100/C92-100</f>
        <v>17.857142857142836</v>
      </c>
      <c r="K92" s="7">
        <f t="shared" si="113"/>
        <v>37.83783783783784</v>
      </c>
      <c r="L92" s="7"/>
      <c r="M92" s="12">
        <v>4.7</v>
      </c>
      <c r="N92" s="5">
        <f>1200/M92</f>
        <v>255.3191489361702</v>
      </c>
      <c r="O92" s="8">
        <v>1140</v>
      </c>
      <c r="P92" s="7">
        <f t="shared" si="126"/>
        <v>11.904761904761905</v>
      </c>
      <c r="Q92" s="7">
        <f>N92*100/G92-100</f>
        <v>-2.5145067698259127</v>
      </c>
      <c r="R92" s="7">
        <f t="shared" si="127"/>
        <v>11.764705882352942</v>
      </c>
      <c r="S92" s="7"/>
      <c r="T92" s="12">
        <v>2.8</v>
      </c>
      <c r="U92" s="7">
        <v>232.1</v>
      </c>
      <c r="V92" s="8">
        <v>610</v>
      </c>
      <c r="W92" s="7">
        <f t="shared" si="128"/>
        <v>-40.425531914893625</v>
      </c>
      <c r="X92" s="7">
        <f>U92*100/N92-100</f>
        <v>-9.094166666666663</v>
      </c>
      <c r="Y92" s="7">
        <f t="shared" si="129"/>
        <v>-46.49122807017544</v>
      </c>
      <c r="Z92" s="7"/>
      <c r="AA92" s="5">
        <v>7</v>
      </c>
      <c r="AB92" s="7">
        <v>442.9</v>
      </c>
      <c r="AC92" s="8">
        <v>2670</v>
      </c>
      <c r="AD92" s="7">
        <f t="shared" si="118"/>
        <v>150.00000000000003</v>
      </c>
      <c r="AE92" s="7">
        <f>AB92*100/U92-100</f>
        <v>90.8229211546747</v>
      </c>
      <c r="AF92" s="7">
        <f t="shared" si="119"/>
        <v>337.7049180327869</v>
      </c>
      <c r="AG92" s="7"/>
      <c r="AH92" s="5">
        <v>1000</v>
      </c>
      <c r="AI92" s="7">
        <v>464</v>
      </c>
      <c r="AJ92" s="8">
        <v>4150</v>
      </c>
      <c r="AK92" s="7">
        <f t="shared" si="120"/>
        <v>14185.714285714286</v>
      </c>
      <c r="AL92" s="7">
        <f>AI92*100/AB92-100</f>
        <v>4.764055091442769</v>
      </c>
      <c r="AM92" s="7">
        <f t="shared" si="121"/>
        <v>55.43071161048689</v>
      </c>
      <c r="AN92" s="7"/>
      <c r="AO92" s="5">
        <v>1180</v>
      </c>
      <c r="AP92" s="7">
        <v>440.7</v>
      </c>
      <c r="AQ92" s="8">
        <v>4700</v>
      </c>
      <c r="AR92" s="7">
        <f t="shared" si="122"/>
        <v>18</v>
      </c>
      <c r="AS92" s="7">
        <f>AP92*100/AI92-100</f>
        <v>-5.021551724137933</v>
      </c>
      <c r="AT92" s="7">
        <f t="shared" si="123"/>
        <v>13.25301204819277</v>
      </c>
      <c r="AU92" s="7"/>
      <c r="AV92" s="5">
        <v>1216</v>
      </c>
      <c r="AW92" s="7">
        <v>435.9</v>
      </c>
      <c r="AX92" s="8">
        <v>4920</v>
      </c>
      <c r="AY92" s="7">
        <f t="shared" si="124"/>
        <v>3.0508474576271185</v>
      </c>
      <c r="AZ92" s="7">
        <f>AW92*100/AP92-100</f>
        <v>-1.089176310415251</v>
      </c>
      <c r="BA92" s="7">
        <f t="shared" si="125"/>
        <v>4.680851063829787</v>
      </c>
      <c r="BB92" s="7"/>
      <c r="BC92" s="5">
        <v>480</v>
      </c>
      <c r="BD92" s="7">
        <v>283.3</v>
      </c>
      <c r="BE92" s="8">
        <v>1280</v>
      </c>
      <c r="BF92" s="7">
        <f t="shared" si="104"/>
        <v>-60.526315789473685</v>
      </c>
      <c r="BG92" s="7">
        <f>BD92*100/AW92-100</f>
        <v>-35.008029364533144</v>
      </c>
      <c r="BH92" s="7">
        <f t="shared" si="105"/>
        <v>-73.98373983739837</v>
      </c>
      <c r="BI92" s="7"/>
      <c r="BJ92" s="12">
        <v>11.87</v>
      </c>
      <c r="BK92" s="7">
        <v>449.5</v>
      </c>
      <c r="BL92" s="8">
        <v>5334</v>
      </c>
      <c r="BM92" s="7">
        <f t="shared" si="106"/>
        <v>-97.52708333333334</v>
      </c>
      <c r="BN92" s="7">
        <f>BK92*100/BD92-100</f>
        <v>58.6657253794564</v>
      </c>
      <c r="BO92" s="7">
        <f t="shared" si="107"/>
        <v>316.71875</v>
      </c>
      <c r="BP92" s="7"/>
      <c r="BQ92" s="12">
        <v>10.5</v>
      </c>
      <c r="BR92" s="7">
        <v>441.9</v>
      </c>
      <c r="BS92" s="8">
        <v>4638</v>
      </c>
      <c r="BT92" s="7">
        <f t="shared" si="108"/>
        <v>-11.54170176916596</v>
      </c>
      <c r="BU92" s="7">
        <f>BR92*100/BK92-100</f>
        <v>-1.6907675194660785</v>
      </c>
      <c r="BV92" s="7">
        <f t="shared" si="109"/>
        <v>-13.048368953880765</v>
      </c>
    </row>
    <row r="93" spans="1:74" ht="12">
      <c r="A93" s="1" t="s">
        <v>8</v>
      </c>
      <c r="B93" s="5">
        <f>B92+B91</f>
        <v>278.6</v>
      </c>
      <c r="C93" s="10" t="s">
        <v>1</v>
      </c>
      <c r="D93" s="8">
        <f>D92+D91</f>
        <v>58240</v>
      </c>
      <c r="E93" s="8"/>
      <c r="F93" s="5">
        <f>F92+F91</f>
        <v>278.2</v>
      </c>
      <c r="G93" s="10" t="s">
        <v>1</v>
      </c>
      <c r="H93" s="8">
        <f>H92+H91</f>
        <v>57620</v>
      </c>
      <c r="I93" s="7">
        <f t="shared" si="112"/>
        <v>-0.14357501794688948</v>
      </c>
      <c r="J93" s="10" t="s">
        <v>1</v>
      </c>
      <c r="K93" s="7">
        <f t="shared" si="113"/>
        <v>-1.0645604395604396</v>
      </c>
      <c r="L93" s="7"/>
      <c r="M93" s="5">
        <f>M92+M91</f>
        <v>298.7</v>
      </c>
      <c r="N93" s="6" t="s">
        <v>1</v>
      </c>
      <c r="O93" s="8">
        <f>O92+O91</f>
        <v>63040</v>
      </c>
      <c r="P93" s="7">
        <f t="shared" si="126"/>
        <v>7.368799424874192</v>
      </c>
      <c r="Q93" s="10" t="s">
        <v>1</v>
      </c>
      <c r="R93" s="7">
        <f t="shared" si="127"/>
        <v>9.40645609163485</v>
      </c>
      <c r="S93" s="7"/>
      <c r="T93" s="5">
        <f>T92+T91</f>
        <v>310.8</v>
      </c>
      <c r="U93" s="6" t="s">
        <v>1</v>
      </c>
      <c r="V93" s="8">
        <f>V92+V91</f>
        <v>63610</v>
      </c>
      <c r="W93" s="7">
        <f t="shared" si="128"/>
        <v>4.0508871777703455</v>
      </c>
      <c r="X93" s="10" t="s">
        <v>1</v>
      </c>
      <c r="Y93" s="7">
        <f t="shared" si="129"/>
        <v>0.9041878172588832</v>
      </c>
      <c r="Z93" s="7"/>
      <c r="AA93" s="5">
        <f>AA92+AA91</f>
        <v>322</v>
      </c>
      <c r="AB93" s="6" t="s">
        <v>1</v>
      </c>
      <c r="AC93" s="8">
        <f>AC92+AC91</f>
        <v>68970</v>
      </c>
      <c r="AD93" s="7">
        <f t="shared" si="118"/>
        <v>3.6036036036035997</v>
      </c>
      <c r="AE93" s="10" t="s">
        <v>1</v>
      </c>
      <c r="AF93" s="7">
        <f t="shared" si="119"/>
        <v>8.426348058481372</v>
      </c>
      <c r="AG93" s="7"/>
      <c r="AH93" s="5">
        <f>AH92+AH91</f>
        <v>1292</v>
      </c>
      <c r="AI93" s="10" t="s">
        <v>1</v>
      </c>
      <c r="AJ93" s="8">
        <f>AJ92+AJ91</f>
        <v>67650</v>
      </c>
      <c r="AK93" s="7">
        <f t="shared" si="120"/>
        <v>301.2422360248447</v>
      </c>
      <c r="AL93" s="10" t="s">
        <v>1</v>
      </c>
      <c r="AM93" s="7">
        <f t="shared" si="121"/>
        <v>-1.9138755980861244</v>
      </c>
      <c r="AN93" s="7"/>
      <c r="AO93" s="5">
        <f>AO92+AO91</f>
        <v>1492</v>
      </c>
      <c r="AP93" s="10" t="s">
        <v>1</v>
      </c>
      <c r="AQ93" s="8">
        <f>AQ92+AQ91</f>
        <v>73100</v>
      </c>
      <c r="AR93" s="7">
        <f t="shared" si="122"/>
        <v>15.479876160990711</v>
      </c>
      <c r="AS93" s="10" t="s">
        <v>1</v>
      </c>
      <c r="AT93" s="7">
        <f t="shared" si="123"/>
        <v>8.056171470805618</v>
      </c>
      <c r="AU93" s="7"/>
      <c r="AV93" s="5">
        <f>AV92+AV91</f>
        <v>1521</v>
      </c>
      <c r="AW93" s="10" t="s">
        <v>1</v>
      </c>
      <c r="AX93" s="8">
        <f>AX92+AX91</f>
        <v>68520</v>
      </c>
      <c r="AY93" s="7">
        <f t="shared" si="124"/>
        <v>1.9436997319034852</v>
      </c>
      <c r="AZ93" s="10" t="s">
        <v>1</v>
      </c>
      <c r="BA93" s="7">
        <f t="shared" si="125"/>
        <v>-6.265389876880985</v>
      </c>
      <c r="BB93" s="7"/>
      <c r="BC93" s="5">
        <f>BC92+BC91</f>
        <v>777</v>
      </c>
      <c r="BD93" s="10" t="s">
        <v>1</v>
      </c>
      <c r="BE93" s="8">
        <f>BE92+BE91</f>
        <v>62280</v>
      </c>
      <c r="BF93" s="7">
        <f t="shared" si="104"/>
        <v>-48.91518737672584</v>
      </c>
      <c r="BG93" s="10" t="s">
        <v>1</v>
      </c>
      <c r="BH93" s="7">
        <f t="shared" si="105"/>
        <v>-9.106830122591944</v>
      </c>
      <c r="BI93" s="7"/>
      <c r="BJ93" s="5">
        <f>BJ92+BJ91</f>
        <v>281.87</v>
      </c>
      <c r="BK93" s="10" t="s">
        <v>1</v>
      </c>
      <c r="BL93" s="8">
        <f>BL92+BL91</f>
        <v>59334</v>
      </c>
      <c r="BM93" s="7">
        <f t="shared" si="106"/>
        <v>-63.72329472329472</v>
      </c>
      <c r="BN93" s="10" t="s">
        <v>1</v>
      </c>
      <c r="BO93" s="7">
        <f t="shared" si="107"/>
        <v>-4.730250481695569</v>
      </c>
      <c r="BP93" s="7"/>
      <c r="BQ93" s="5">
        <f>BQ92+BQ91</f>
        <v>342.5</v>
      </c>
      <c r="BR93" s="10" t="s">
        <v>1</v>
      </c>
      <c r="BS93" s="8">
        <f>BS92+BS91</f>
        <v>62938</v>
      </c>
      <c r="BT93" s="7">
        <f t="shared" si="108"/>
        <v>21.509915918685916</v>
      </c>
      <c r="BU93" s="10" t="s">
        <v>1</v>
      </c>
      <c r="BV93" s="7">
        <f t="shared" si="109"/>
        <v>6.074089055179155</v>
      </c>
    </row>
    <row r="94" spans="1:74" ht="12">
      <c r="A94" s="1" t="s">
        <v>78</v>
      </c>
      <c r="B94" s="13">
        <v>125</v>
      </c>
      <c r="C94" s="7">
        <v>175</v>
      </c>
      <c r="D94" s="8">
        <v>21000</v>
      </c>
      <c r="E94" s="8"/>
      <c r="F94" s="5">
        <v>120</v>
      </c>
      <c r="G94" s="7">
        <v>179.8</v>
      </c>
      <c r="H94" s="8">
        <v>20100</v>
      </c>
      <c r="I94" s="7">
        <f t="shared" si="112"/>
        <v>-4</v>
      </c>
      <c r="J94" s="7">
        <f>G94*100/C94-100</f>
        <v>2.7428571428571495</v>
      </c>
      <c r="K94" s="7">
        <f t="shared" si="113"/>
        <v>-4.285714285714286</v>
      </c>
      <c r="L94" s="7"/>
      <c r="M94" s="5">
        <v>133</v>
      </c>
      <c r="N94" s="7">
        <v>185.7</v>
      </c>
      <c r="O94" s="8">
        <v>23500</v>
      </c>
      <c r="P94" s="7">
        <f t="shared" si="126"/>
        <v>10.833333333333334</v>
      </c>
      <c r="Q94" s="7">
        <f>N94*100/G94-100</f>
        <v>3.281423804226906</v>
      </c>
      <c r="R94" s="7">
        <f t="shared" si="127"/>
        <v>16.915422885572138</v>
      </c>
      <c r="S94" s="7"/>
      <c r="T94" s="5">
        <v>120</v>
      </c>
      <c r="U94" s="7">
        <v>188.5</v>
      </c>
      <c r="V94" s="8">
        <v>21500</v>
      </c>
      <c r="W94" s="7">
        <f t="shared" si="128"/>
        <v>-9.774436090225564</v>
      </c>
      <c r="X94" s="7">
        <f>U94*100/N94-100</f>
        <v>1.5078082929456174</v>
      </c>
      <c r="Y94" s="7">
        <f t="shared" si="129"/>
        <v>-8.51063829787234</v>
      </c>
      <c r="Z94" s="7"/>
      <c r="AA94" s="5">
        <v>110</v>
      </c>
      <c r="AB94" s="7">
        <v>190</v>
      </c>
      <c r="AC94" s="8">
        <v>20200</v>
      </c>
      <c r="AD94" s="7">
        <f t="shared" si="118"/>
        <v>-8.333333333333334</v>
      </c>
      <c r="AE94" s="7">
        <f>AB94*100/U94-100</f>
        <v>0.7957559681697612</v>
      </c>
      <c r="AF94" s="7">
        <f t="shared" si="119"/>
        <v>-6.046511627906977</v>
      </c>
      <c r="AG94" s="7"/>
      <c r="AH94" s="5">
        <v>100</v>
      </c>
      <c r="AI94" s="7">
        <f>19500/AH94</f>
        <v>195</v>
      </c>
      <c r="AJ94" s="8">
        <v>19500</v>
      </c>
      <c r="AK94" s="7">
        <f t="shared" si="120"/>
        <v>-9.090909090909092</v>
      </c>
      <c r="AL94" s="7">
        <f>AI94*100/AB94-100</f>
        <v>2.6315789473684212</v>
      </c>
      <c r="AM94" s="7">
        <f t="shared" si="121"/>
        <v>-3.4653465346534653</v>
      </c>
      <c r="AN94" s="7"/>
      <c r="AO94" s="5">
        <v>95</v>
      </c>
      <c r="AP94" s="7">
        <v>192.6</v>
      </c>
      <c r="AQ94" s="8">
        <v>18300</v>
      </c>
      <c r="AR94" s="7">
        <f t="shared" si="122"/>
        <v>-5</v>
      </c>
      <c r="AS94" s="7">
        <f>AP94*100/AI94-100</f>
        <v>-1.2307692307692337</v>
      </c>
      <c r="AT94" s="7">
        <f t="shared" si="123"/>
        <v>-6.153846153846154</v>
      </c>
      <c r="AU94" s="7"/>
      <c r="AV94" s="5">
        <v>90</v>
      </c>
      <c r="AW94" s="7">
        <v>190</v>
      </c>
      <c r="AX94" s="8">
        <v>17100</v>
      </c>
      <c r="AY94" s="7">
        <f t="shared" si="124"/>
        <v>-5.2631578947368425</v>
      </c>
      <c r="AZ94" s="7">
        <f>AW94*100/AP94-100</f>
        <v>-1.3499480789200387</v>
      </c>
      <c r="BA94" s="7">
        <f t="shared" si="125"/>
        <v>-6.557377049180328</v>
      </c>
      <c r="BB94" s="7"/>
      <c r="BC94" s="5">
        <v>85</v>
      </c>
      <c r="BD94" s="7">
        <v>180</v>
      </c>
      <c r="BE94" s="8">
        <v>15300</v>
      </c>
      <c r="BF94" s="7">
        <f t="shared" si="104"/>
        <v>-5.555555555555555</v>
      </c>
      <c r="BG94" s="7">
        <f>BD94*100/AW94-100</f>
        <v>-5.2631578947368425</v>
      </c>
      <c r="BH94" s="7">
        <f t="shared" si="105"/>
        <v>-10.526315789473685</v>
      </c>
      <c r="BI94" s="7"/>
      <c r="BJ94" s="12">
        <v>85</v>
      </c>
      <c r="BK94" s="7">
        <v>170</v>
      </c>
      <c r="BL94" s="8">
        <v>13700</v>
      </c>
      <c r="BM94" s="7">
        <f t="shared" si="106"/>
        <v>0</v>
      </c>
      <c r="BN94" s="7">
        <f>BK94*100/BD94-100</f>
        <v>-5.555555555555555</v>
      </c>
      <c r="BO94" s="7">
        <f t="shared" si="107"/>
        <v>-10.457516339869281</v>
      </c>
      <c r="BP94" s="7"/>
      <c r="BQ94" s="5">
        <v>80</v>
      </c>
      <c r="BR94" s="7">
        <f>BS94/BQ94</f>
        <v>170</v>
      </c>
      <c r="BS94" s="8">
        <v>13600</v>
      </c>
      <c r="BT94" s="7">
        <f t="shared" si="108"/>
        <v>-5.882352941176471</v>
      </c>
      <c r="BU94" s="7">
        <f>BR94*100/BK94-100</f>
        <v>0</v>
      </c>
      <c r="BV94" s="7">
        <f t="shared" si="109"/>
        <v>-0.7299270072992701</v>
      </c>
    </row>
    <row r="95" spans="1:74" ht="12">
      <c r="A95" s="1" t="s">
        <v>79</v>
      </c>
      <c r="B95" s="12">
        <v>10.6</v>
      </c>
      <c r="C95" s="7">
        <f>4520/B95</f>
        <v>426.41509433962267</v>
      </c>
      <c r="D95" s="8">
        <v>4070</v>
      </c>
      <c r="E95" s="8"/>
      <c r="F95" s="12">
        <v>12</v>
      </c>
      <c r="G95" s="7">
        <f>5000/F95</f>
        <v>416.6666666666667</v>
      </c>
      <c r="H95" s="8">
        <v>4270</v>
      </c>
      <c r="I95" s="7">
        <f t="shared" si="112"/>
        <v>13.207547169811324</v>
      </c>
      <c r="J95" s="7">
        <f>G95*100/C95-100</f>
        <v>-2.2861356932153414</v>
      </c>
      <c r="K95" s="7">
        <f t="shared" si="113"/>
        <v>4.914004914004914</v>
      </c>
      <c r="L95" s="7"/>
      <c r="M95" s="12">
        <v>12</v>
      </c>
      <c r="N95" s="5">
        <f>5400/M95</f>
        <v>450</v>
      </c>
      <c r="O95" s="8">
        <v>4690</v>
      </c>
      <c r="P95" s="7">
        <f t="shared" si="126"/>
        <v>0</v>
      </c>
      <c r="Q95" s="7">
        <f>N95*100/G95-100</f>
        <v>7.999999999999995</v>
      </c>
      <c r="R95" s="7">
        <f t="shared" si="127"/>
        <v>9.836065573770492</v>
      </c>
      <c r="S95" s="7"/>
      <c r="T95" s="5">
        <v>13</v>
      </c>
      <c r="U95" s="7">
        <v>418.5</v>
      </c>
      <c r="V95" s="8">
        <v>4780</v>
      </c>
      <c r="W95" s="7">
        <f t="shared" si="128"/>
        <v>8.333333333333334</v>
      </c>
      <c r="X95" s="7">
        <f>U95*100/N95-100</f>
        <v>-7</v>
      </c>
      <c r="Y95" s="7">
        <f t="shared" si="129"/>
        <v>1.9189765458422174</v>
      </c>
      <c r="Z95" s="7"/>
      <c r="AA95" s="5">
        <v>20</v>
      </c>
      <c r="AB95" s="7">
        <v>400</v>
      </c>
      <c r="AC95" s="8">
        <v>6400</v>
      </c>
      <c r="AD95" s="7">
        <f t="shared" si="118"/>
        <v>53.84615384615385</v>
      </c>
      <c r="AE95" s="7">
        <f>AB95*100/U95-100</f>
        <v>-4.4205495818399045</v>
      </c>
      <c r="AF95" s="7">
        <f t="shared" si="119"/>
        <v>33.89121338912134</v>
      </c>
      <c r="AG95" s="7"/>
      <c r="AH95" s="5">
        <v>2500</v>
      </c>
      <c r="AI95" s="7">
        <v>420</v>
      </c>
      <c r="AJ95" s="8">
        <v>8920</v>
      </c>
      <c r="AK95" s="7">
        <f t="shared" si="120"/>
        <v>12400</v>
      </c>
      <c r="AL95" s="7">
        <f>AI95*100/AB95-100</f>
        <v>5</v>
      </c>
      <c r="AM95" s="7">
        <f t="shared" si="121"/>
        <v>39.375</v>
      </c>
      <c r="AN95" s="7"/>
      <c r="AO95" s="5">
        <v>3100</v>
      </c>
      <c r="AP95" s="7">
        <v>412.9</v>
      </c>
      <c r="AQ95" s="8">
        <v>11520</v>
      </c>
      <c r="AR95" s="7">
        <f t="shared" si="122"/>
        <v>24</v>
      </c>
      <c r="AS95" s="7">
        <f>AP95*100/AI95-100</f>
        <v>-1.6904761904761958</v>
      </c>
      <c r="AT95" s="7">
        <f t="shared" si="123"/>
        <v>29.14798206278027</v>
      </c>
      <c r="AU95" s="7"/>
      <c r="AV95" s="5">
        <v>3130</v>
      </c>
      <c r="AW95" s="7">
        <v>417.3</v>
      </c>
      <c r="AX95" s="8">
        <v>11730</v>
      </c>
      <c r="AY95" s="7">
        <f t="shared" si="124"/>
        <v>0.967741935483871</v>
      </c>
      <c r="AZ95" s="7">
        <f>AW95*100/AP95-100</f>
        <v>1.0656333252603618</v>
      </c>
      <c r="BA95" s="7">
        <f t="shared" si="125"/>
        <v>1.8229166666666667</v>
      </c>
      <c r="BB95" s="7"/>
      <c r="BC95" s="5">
        <v>3125</v>
      </c>
      <c r="BD95" s="7">
        <v>418.2</v>
      </c>
      <c r="BE95" s="8">
        <v>12070</v>
      </c>
      <c r="BF95" s="7">
        <f t="shared" si="104"/>
        <v>-0.1597444089456869</v>
      </c>
      <c r="BG95" s="7">
        <f>BD95*100/AW95-100</f>
        <v>0.21567217828899526</v>
      </c>
      <c r="BH95" s="7">
        <f t="shared" si="105"/>
        <v>2.898550724637681</v>
      </c>
      <c r="BI95" s="7"/>
      <c r="BJ95" s="12">
        <v>35.14</v>
      </c>
      <c r="BK95" s="7">
        <v>419.1</v>
      </c>
      <c r="BL95" s="8">
        <v>14728</v>
      </c>
      <c r="BM95" s="7">
        <f t="shared" si="106"/>
        <v>-98.87552</v>
      </c>
      <c r="BN95" s="7">
        <f>BK95*100/BD95-100</f>
        <v>0.21520803443329367</v>
      </c>
      <c r="BO95" s="7">
        <f t="shared" si="107"/>
        <v>22.021541010770505</v>
      </c>
      <c r="BP95" s="7"/>
      <c r="BQ95" s="5">
        <v>41</v>
      </c>
      <c r="BR95" s="7">
        <v>403.9</v>
      </c>
      <c r="BS95" s="8">
        <v>16510</v>
      </c>
      <c r="BT95" s="7">
        <f t="shared" si="108"/>
        <v>16.676152532726235</v>
      </c>
      <c r="BU95" s="7">
        <f>BR95*100/BK95-100</f>
        <v>-3.6268193748508817</v>
      </c>
      <c r="BV95" s="7">
        <f t="shared" si="109"/>
        <v>12.099402498642043</v>
      </c>
    </row>
    <row r="96" spans="1:74" ht="12">
      <c r="A96" s="1" t="s">
        <v>8</v>
      </c>
      <c r="B96" s="5">
        <f>B95+B94</f>
        <v>135.6</v>
      </c>
      <c r="C96" s="10" t="s">
        <v>1</v>
      </c>
      <c r="D96" s="8">
        <f>D95+D94</f>
        <v>25070</v>
      </c>
      <c r="E96" s="8"/>
      <c r="F96" s="5">
        <f>F95+F94</f>
        <v>132</v>
      </c>
      <c r="G96" s="10" t="s">
        <v>1</v>
      </c>
      <c r="H96" s="8">
        <f>H95+H94</f>
        <v>24370</v>
      </c>
      <c r="I96" s="7">
        <f t="shared" si="112"/>
        <v>-2.6548672566371643</v>
      </c>
      <c r="J96" s="10" t="s">
        <v>1</v>
      </c>
      <c r="K96" s="7">
        <f t="shared" si="113"/>
        <v>-2.792181890706023</v>
      </c>
      <c r="L96" s="7"/>
      <c r="M96" s="5">
        <f>M95+M94</f>
        <v>145</v>
      </c>
      <c r="N96" s="6" t="s">
        <v>1</v>
      </c>
      <c r="O96" s="8">
        <f>O95+O94</f>
        <v>28190</v>
      </c>
      <c r="P96" s="7">
        <f t="shared" si="126"/>
        <v>9.848484848484848</v>
      </c>
      <c r="Q96" s="10" t="s">
        <v>1</v>
      </c>
      <c r="R96" s="7">
        <f t="shared" si="127"/>
        <v>15.675010258514567</v>
      </c>
      <c r="S96" s="7"/>
      <c r="T96" s="5">
        <f>T95+T94</f>
        <v>133</v>
      </c>
      <c r="U96" s="6" t="s">
        <v>1</v>
      </c>
      <c r="V96" s="8">
        <f>V95+V94</f>
        <v>26280</v>
      </c>
      <c r="W96" s="7">
        <f t="shared" si="128"/>
        <v>-8.275862068965518</v>
      </c>
      <c r="X96" s="10" t="s">
        <v>1</v>
      </c>
      <c r="Y96" s="7">
        <f t="shared" si="129"/>
        <v>-6.775452288045406</v>
      </c>
      <c r="Z96" s="7"/>
      <c r="AA96" s="5">
        <f>AA95+AA94</f>
        <v>130</v>
      </c>
      <c r="AB96" s="6" t="s">
        <v>1</v>
      </c>
      <c r="AC96" s="8">
        <f>AC95+AC94</f>
        <v>26600</v>
      </c>
      <c r="AD96" s="7">
        <f t="shared" si="118"/>
        <v>-2.255639097744361</v>
      </c>
      <c r="AE96" s="10" t="s">
        <v>1</v>
      </c>
      <c r="AF96" s="7">
        <f t="shared" si="119"/>
        <v>1.21765601217656</v>
      </c>
      <c r="AG96" s="7"/>
      <c r="AH96" s="5">
        <f>AH95+AH94</f>
        <v>2600</v>
      </c>
      <c r="AI96" s="10" t="s">
        <v>1</v>
      </c>
      <c r="AJ96" s="8">
        <f>AJ95+AJ94</f>
        <v>28420</v>
      </c>
      <c r="AK96" s="7">
        <f t="shared" si="120"/>
        <v>1900</v>
      </c>
      <c r="AL96" s="10" t="s">
        <v>1</v>
      </c>
      <c r="AM96" s="7">
        <f t="shared" si="121"/>
        <v>6.842105263157895</v>
      </c>
      <c r="AN96" s="7"/>
      <c r="AO96" s="5">
        <f>AO95+AO94</f>
        <v>3195</v>
      </c>
      <c r="AP96" s="10" t="s">
        <v>1</v>
      </c>
      <c r="AQ96" s="8">
        <f>AQ95+AQ94</f>
        <v>29820</v>
      </c>
      <c r="AR96" s="7">
        <f t="shared" si="122"/>
        <v>22.884615384615383</v>
      </c>
      <c r="AS96" s="10" t="s">
        <v>1</v>
      </c>
      <c r="AT96" s="7">
        <f t="shared" si="123"/>
        <v>4.926108374384237</v>
      </c>
      <c r="AU96" s="7"/>
      <c r="AV96" s="5">
        <f>AV95+AV94</f>
        <v>3220</v>
      </c>
      <c r="AW96" s="10" t="s">
        <v>1</v>
      </c>
      <c r="AX96" s="8">
        <f>AX95+AX94</f>
        <v>28830</v>
      </c>
      <c r="AY96" s="7">
        <f t="shared" si="124"/>
        <v>0.7824726134585289</v>
      </c>
      <c r="AZ96" s="10" t="s">
        <v>1</v>
      </c>
      <c r="BA96" s="7">
        <f t="shared" si="125"/>
        <v>-3.319919517102616</v>
      </c>
      <c r="BB96" s="7"/>
      <c r="BC96" s="5">
        <f>BC95+BC94</f>
        <v>3210</v>
      </c>
      <c r="BD96" s="10" t="s">
        <v>1</v>
      </c>
      <c r="BE96" s="8">
        <f>BE95+BE94</f>
        <v>27370</v>
      </c>
      <c r="BF96" s="7">
        <f t="shared" si="104"/>
        <v>-0.31055900621118016</v>
      </c>
      <c r="BG96" s="10" t="s">
        <v>1</v>
      </c>
      <c r="BH96" s="7">
        <f t="shared" si="105"/>
        <v>-5.064169268123482</v>
      </c>
      <c r="BI96" s="7"/>
      <c r="BJ96" s="5">
        <f>BJ95+BJ94</f>
        <v>120.14</v>
      </c>
      <c r="BK96" s="10" t="s">
        <v>1</v>
      </c>
      <c r="BL96" s="8">
        <f>BL95+BL94</f>
        <v>28428</v>
      </c>
      <c r="BM96" s="7">
        <f t="shared" si="106"/>
        <v>-96.25732087227415</v>
      </c>
      <c r="BN96" s="10" t="s">
        <v>1</v>
      </c>
      <c r="BO96" s="7">
        <f t="shared" si="107"/>
        <v>3.865546218487395</v>
      </c>
      <c r="BP96" s="7"/>
      <c r="BQ96" s="5">
        <f>BQ95+BQ94</f>
        <v>121</v>
      </c>
      <c r="BR96" s="10" t="s">
        <v>1</v>
      </c>
      <c r="BS96" s="8">
        <f>BS95+BS94</f>
        <v>30110</v>
      </c>
      <c r="BT96" s="7">
        <f t="shared" si="108"/>
        <v>0.7158315298818041</v>
      </c>
      <c r="BU96" s="10" t="s">
        <v>1</v>
      </c>
      <c r="BV96" s="7">
        <f t="shared" si="109"/>
        <v>5.916701843253131</v>
      </c>
    </row>
    <row r="97" spans="1:74" ht="12">
      <c r="A97" s="1" t="s">
        <v>80</v>
      </c>
      <c r="B97" s="5">
        <v>320</v>
      </c>
      <c r="C97" s="7">
        <v>308.7</v>
      </c>
      <c r="D97" s="8">
        <v>97200</v>
      </c>
      <c r="E97" s="8"/>
      <c r="F97" s="5">
        <v>325</v>
      </c>
      <c r="G97" s="7">
        <v>318.7</v>
      </c>
      <c r="H97" s="8">
        <v>101600</v>
      </c>
      <c r="I97" s="7">
        <f t="shared" si="112"/>
        <v>1.5625</v>
      </c>
      <c r="J97" s="7">
        <f>G97*100/C97-100</f>
        <v>3.2393909944930352</v>
      </c>
      <c r="K97" s="7">
        <f t="shared" si="113"/>
        <v>4.526748971193416</v>
      </c>
      <c r="L97" s="7"/>
      <c r="M97" s="5">
        <v>277</v>
      </c>
      <c r="N97" s="7">
        <v>348.7</v>
      </c>
      <c r="O97" s="8">
        <v>94900</v>
      </c>
      <c r="P97" s="7">
        <f t="shared" si="126"/>
        <v>-14.76923076923077</v>
      </c>
      <c r="Q97" s="7">
        <f>N97*100/G97-100</f>
        <v>9.413241292751804</v>
      </c>
      <c r="R97" s="7">
        <f t="shared" si="127"/>
        <v>-6.594488188976378</v>
      </c>
      <c r="S97" s="7"/>
      <c r="T97" s="5">
        <v>263</v>
      </c>
      <c r="U97" s="7">
        <v>362.9</v>
      </c>
      <c r="V97" s="8">
        <v>94000</v>
      </c>
      <c r="W97" s="7">
        <f t="shared" si="128"/>
        <v>-5.054151624548736</v>
      </c>
      <c r="X97" s="7">
        <f>U97*100/N97-100</f>
        <v>4.0722684255807255</v>
      </c>
      <c r="Y97" s="7">
        <f t="shared" si="129"/>
        <v>-0.9483667017913593</v>
      </c>
      <c r="Z97" s="7"/>
      <c r="AA97" s="5">
        <v>240</v>
      </c>
      <c r="AB97" s="7">
        <v>337</v>
      </c>
      <c r="AC97" s="8">
        <v>89300</v>
      </c>
      <c r="AD97" s="7">
        <f t="shared" si="118"/>
        <v>-8.745247148288973</v>
      </c>
      <c r="AE97" s="7">
        <f>AB97*100/U97-100</f>
        <v>-7.136952328465136</v>
      </c>
      <c r="AF97" s="7">
        <f t="shared" si="119"/>
        <v>-5</v>
      </c>
      <c r="AG97" s="7"/>
      <c r="AH97" s="5">
        <v>250</v>
      </c>
      <c r="AI97" s="7">
        <v>350.8</v>
      </c>
      <c r="AJ97" s="8">
        <v>86700</v>
      </c>
      <c r="AK97" s="7">
        <f t="shared" si="120"/>
        <v>4.166666666666667</v>
      </c>
      <c r="AL97" s="7">
        <f>AI97*100/AB97-100</f>
        <v>4.094955489614247</v>
      </c>
      <c r="AM97" s="7">
        <f t="shared" si="121"/>
        <v>-2.9115341545352744</v>
      </c>
      <c r="AN97" s="7"/>
      <c r="AO97" s="5">
        <v>283</v>
      </c>
      <c r="AP97" s="7">
        <v>373.5</v>
      </c>
      <c r="AQ97" s="8">
        <v>105300</v>
      </c>
      <c r="AR97" s="7">
        <f t="shared" si="122"/>
        <v>13.2</v>
      </c>
      <c r="AS97" s="7">
        <f>AP97*100/AI97-100</f>
        <v>6.470923603192699</v>
      </c>
      <c r="AT97" s="7">
        <f t="shared" si="123"/>
        <v>21.453287197231834</v>
      </c>
      <c r="AU97" s="7"/>
      <c r="AV97" s="5">
        <v>286</v>
      </c>
      <c r="AW97" s="7">
        <v>363.9</v>
      </c>
      <c r="AX97" s="8">
        <v>103400</v>
      </c>
      <c r="AY97" s="7">
        <f t="shared" si="124"/>
        <v>1.0600706713780919</v>
      </c>
      <c r="AZ97" s="7">
        <f>AW97*100/AP97-100</f>
        <v>-2.570281124497998</v>
      </c>
      <c r="BA97" s="7">
        <f t="shared" si="125"/>
        <v>-1.8043684710351378</v>
      </c>
      <c r="BB97" s="7"/>
      <c r="BC97" s="5">
        <v>316</v>
      </c>
      <c r="BD97" s="7">
        <v>382.8</v>
      </c>
      <c r="BE97" s="8">
        <v>109400</v>
      </c>
      <c r="BF97" s="7">
        <f t="shared" si="104"/>
        <v>10.48951048951049</v>
      </c>
      <c r="BG97" s="7">
        <f>BD97*100/AW97-100</f>
        <v>5.1937345424567285</v>
      </c>
      <c r="BH97" s="7">
        <f t="shared" si="105"/>
        <v>5.802707930367505</v>
      </c>
      <c r="BI97" s="7"/>
      <c r="BJ97" s="5">
        <v>314</v>
      </c>
      <c r="BK97" s="7">
        <v>383.6</v>
      </c>
      <c r="BL97" s="8">
        <v>118300</v>
      </c>
      <c r="BM97" s="7">
        <f t="shared" si="106"/>
        <v>-0.6329113924050633</v>
      </c>
      <c r="BN97" s="7">
        <f>BK97*100/BD97-100</f>
        <v>0.20898641588297057</v>
      </c>
      <c r="BO97" s="7">
        <f t="shared" si="107"/>
        <v>8.135283363802559</v>
      </c>
      <c r="BP97" s="7"/>
      <c r="BQ97" s="5">
        <v>281</v>
      </c>
      <c r="BR97" s="7">
        <v>402.9</v>
      </c>
      <c r="BS97" s="8">
        <v>111000</v>
      </c>
      <c r="BT97" s="7">
        <f t="shared" si="108"/>
        <v>-10.509554140127388</v>
      </c>
      <c r="BU97" s="7">
        <f>BR97*100/BK97-100</f>
        <v>5.0312825860271</v>
      </c>
      <c r="BV97" s="7">
        <f t="shared" si="109"/>
        <v>-6.170752324598478</v>
      </c>
    </row>
    <row r="98" spans="1:74" ht="12">
      <c r="A98" s="1" t="s">
        <v>81</v>
      </c>
      <c r="B98" s="12">
        <v>7.51</v>
      </c>
      <c r="C98" s="7">
        <f>4700/B98</f>
        <v>625.8322237017311</v>
      </c>
      <c r="D98" s="8">
        <v>4220</v>
      </c>
      <c r="E98" s="8"/>
      <c r="F98" s="12">
        <v>8.6</v>
      </c>
      <c r="G98" s="7">
        <f>5580/F98</f>
        <v>648.8372093023256</v>
      </c>
      <c r="H98" s="8">
        <v>5130</v>
      </c>
      <c r="I98" s="7">
        <f t="shared" si="112"/>
        <v>14.51398135818908</v>
      </c>
      <c r="J98" s="7">
        <f>G98*100/C98-100</f>
        <v>3.675903018307763</v>
      </c>
      <c r="K98" s="7">
        <f t="shared" si="113"/>
        <v>21.563981042654028</v>
      </c>
      <c r="L98" s="7"/>
      <c r="M98" s="12">
        <v>9.15</v>
      </c>
      <c r="N98" s="7">
        <f>7050/M98</f>
        <v>770.4918032786885</v>
      </c>
      <c r="O98" s="8">
        <v>6460</v>
      </c>
      <c r="P98" s="7">
        <f t="shared" si="126"/>
        <v>6.395348837209311</v>
      </c>
      <c r="Q98" s="7">
        <f>N98*100/G98-100</f>
        <v>18.749632763382092</v>
      </c>
      <c r="R98" s="7">
        <f t="shared" si="127"/>
        <v>25.925925925925927</v>
      </c>
      <c r="S98" s="7"/>
      <c r="T98" s="5">
        <v>10</v>
      </c>
      <c r="U98" s="7">
        <v>643</v>
      </c>
      <c r="V98" s="8">
        <v>5840</v>
      </c>
      <c r="W98" s="7">
        <f t="shared" si="128"/>
        <v>9.289617486338793</v>
      </c>
      <c r="X98" s="7">
        <f>U98*100/N98-100</f>
        <v>-16.546808510638296</v>
      </c>
      <c r="Y98" s="7">
        <f t="shared" si="129"/>
        <v>-9.597523219814242</v>
      </c>
      <c r="Z98" s="7"/>
      <c r="AA98" s="7">
        <v>9.1</v>
      </c>
      <c r="AB98" s="7">
        <v>497.8</v>
      </c>
      <c r="AC98" s="8">
        <v>4140</v>
      </c>
      <c r="AD98" s="7">
        <f t="shared" si="118"/>
        <v>-9.000000000000004</v>
      </c>
      <c r="AE98" s="7">
        <f>AB98*100/U98-100</f>
        <v>-22.58164852255054</v>
      </c>
      <c r="AF98" s="7">
        <f t="shared" si="119"/>
        <v>-29.10958904109589</v>
      </c>
      <c r="AG98" s="7"/>
      <c r="AH98" s="5">
        <v>1300</v>
      </c>
      <c r="AI98" s="7">
        <v>492.3</v>
      </c>
      <c r="AJ98" s="8">
        <v>5850</v>
      </c>
      <c r="AK98" s="7">
        <f t="shared" si="120"/>
        <v>14185.714285714286</v>
      </c>
      <c r="AL98" s="7">
        <f>AI98*100/AB98-100</f>
        <v>-1.1048613901165127</v>
      </c>
      <c r="AM98" s="7">
        <f t="shared" si="121"/>
        <v>41.30434782608695</v>
      </c>
      <c r="AN98" s="7"/>
      <c r="AO98" s="5">
        <v>1400</v>
      </c>
      <c r="AP98" s="7">
        <v>496.4</v>
      </c>
      <c r="AQ98" s="8">
        <v>6350</v>
      </c>
      <c r="AR98" s="7">
        <f t="shared" si="122"/>
        <v>7.6923076923076925</v>
      </c>
      <c r="AS98" s="7">
        <f>AP98*100/AI98-100</f>
        <v>0.832825512898632</v>
      </c>
      <c r="AT98" s="7">
        <f t="shared" si="123"/>
        <v>8.547008547008547</v>
      </c>
      <c r="AU98" s="7"/>
      <c r="AV98" s="5">
        <v>1400</v>
      </c>
      <c r="AW98" s="7">
        <v>496.4</v>
      </c>
      <c r="AX98" s="8">
        <v>6350</v>
      </c>
      <c r="AY98" s="7">
        <f t="shared" si="124"/>
        <v>0</v>
      </c>
      <c r="AZ98" s="7">
        <f>AW98*100/AP98-100</f>
        <v>0</v>
      </c>
      <c r="BA98" s="7">
        <f t="shared" si="125"/>
        <v>0</v>
      </c>
      <c r="BB98" s="7"/>
      <c r="BC98" s="5">
        <v>1500</v>
      </c>
      <c r="BD98" s="7">
        <v>496.7</v>
      </c>
      <c r="BE98" s="8">
        <v>6680</v>
      </c>
      <c r="BF98" s="7">
        <f t="shared" si="104"/>
        <v>7.142857142857143</v>
      </c>
      <c r="BG98" s="7">
        <f>BD98*100/AW98-100</f>
        <v>0.0604351329572948</v>
      </c>
      <c r="BH98" s="7">
        <f t="shared" si="105"/>
        <v>5.196850393700787</v>
      </c>
      <c r="BI98" s="7"/>
      <c r="BJ98" s="12">
        <v>15</v>
      </c>
      <c r="BK98" s="7">
        <v>546.7</v>
      </c>
      <c r="BL98" s="8">
        <v>8130</v>
      </c>
      <c r="BM98" s="7">
        <f t="shared" si="106"/>
        <v>-99</v>
      </c>
      <c r="BN98" s="7">
        <f>BK98*100/BD98-100</f>
        <v>10.066438494060813</v>
      </c>
      <c r="BO98" s="7">
        <f t="shared" si="107"/>
        <v>21.706586826347305</v>
      </c>
      <c r="BP98" s="7"/>
      <c r="BQ98" s="12">
        <v>15.61</v>
      </c>
      <c r="BR98" s="7">
        <v>576.7</v>
      </c>
      <c r="BS98" s="8">
        <v>8998</v>
      </c>
      <c r="BT98" s="7">
        <f t="shared" si="108"/>
        <v>4.066666666666663</v>
      </c>
      <c r="BU98" s="7">
        <f>BR98*100/BK98-100</f>
        <v>5.48747027620267</v>
      </c>
      <c r="BV98" s="7">
        <f t="shared" si="109"/>
        <v>10.67650676506765</v>
      </c>
    </row>
    <row r="99" spans="1:74" ht="12">
      <c r="A99" s="1" t="s">
        <v>82</v>
      </c>
      <c r="B99" s="5">
        <f>B98+B97</f>
        <v>327.51</v>
      </c>
      <c r="C99" s="10" t="s">
        <v>1</v>
      </c>
      <c r="D99" s="8">
        <f>D98+D97</f>
        <v>101420</v>
      </c>
      <c r="E99" s="8"/>
      <c r="F99" s="5">
        <f>F98+F97</f>
        <v>333.6</v>
      </c>
      <c r="G99" s="10" t="s">
        <v>1</v>
      </c>
      <c r="H99" s="8">
        <f>H98+H97</f>
        <v>106730</v>
      </c>
      <c r="I99" s="7">
        <f t="shared" si="112"/>
        <v>1.859485206558588</v>
      </c>
      <c r="J99" s="10" t="s">
        <v>1</v>
      </c>
      <c r="K99" s="7">
        <f t="shared" si="113"/>
        <v>5.2356537172155395</v>
      </c>
      <c r="L99" s="7"/>
      <c r="M99" s="5">
        <f>M98+M97</f>
        <v>286.15</v>
      </c>
      <c r="N99" s="6" t="s">
        <v>1</v>
      </c>
      <c r="O99" s="8">
        <f>O98+O97</f>
        <v>101360</v>
      </c>
      <c r="P99" s="7">
        <f t="shared" si="126"/>
        <v>-14.22362110311752</v>
      </c>
      <c r="Q99" s="10" t="s">
        <v>1</v>
      </c>
      <c r="R99" s="7">
        <f t="shared" si="127"/>
        <v>-5.031387613604422</v>
      </c>
      <c r="S99" s="7"/>
      <c r="T99" s="5">
        <f>T98+T97</f>
        <v>273</v>
      </c>
      <c r="U99" s="6" t="s">
        <v>1</v>
      </c>
      <c r="V99" s="8">
        <f>V98+V97</f>
        <v>99840</v>
      </c>
      <c r="W99" s="7">
        <f t="shared" si="128"/>
        <v>-4.595491874890784</v>
      </c>
      <c r="X99" s="10" t="s">
        <v>1</v>
      </c>
      <c r="Y99" s="7">
        <f t="shared" si="129"/>
        <v>-1.499605367008682</v>
      </c>
      <c r="Z99" s="7"/>
      <c r="AA99" s="5">
        <f>AA98+AA97</f>
        <v>249.1</v>
      </c>
      <c r="AB99" s="6" t="s">
        <v>1</v>
      </c>
      <c r="AC99" s="8">
        <f>AC98+AC97</f>
        <v>93440</v>
      </c>
      <c r="AD99" s="7">
        <f t="shared" si="118"/>
        <v>-8.754578754578757</v>
      </c>
      <c r="AE99" s="10" t="s">
        <v>1</v>
      </c>
      <c r="AF99" s="7">
        <f t="shared" si="119"/>
        <v>-6.410256410256411</v>
      </c>
      <c r="AG99" s="7"/>
      <c r="AH99" s="5">
        <f>AH98+AH97</f>
        <v>1550</v>
      </c>
      <c r="AI99" s="10" t="s">
        <v>1</v>
      </c>
      <c r="AJ99" s="8">
        <f>AJ98+AJ97</f>
        <v>92550</v>
      </c>
      <c r="AK99" s="7">
        <f t="shared" si="120"/>
        <v>522.2400642312324</v>
      </c>
      <c r="AL99" s="10" t="s">
        <v>1</v>
      </c>
      <c r="AM99" s="7">
        <f t="shared" si="121"/>
        <v>-0.9524828767123288</v>
      </c>
      <c r="AN99" s="7"/>
      <c r="AO99" s="5">
        <f>AO98+AO97</f>
        <v>1683</v>
      </c>
      <c r="AP99" s="10" t="s">
        <v>1</v>
      </c>
      <c r="AQ99" s="8">
        <f>AQ98+AQ97</f>
        <v>111650</v>
      </c>
      <c r="AR99" s="7">
        <f t="shared" si="122"/>
        <v>8.580645161290322</v>
      </c>
      <c r="AS99" s="10" t="s">
        <v>1</v>
      </c>
      <c r="AT99" s="7">
        <f t="shared" si="123"/>
        <v>20.63749324689357</v>
      </c>
      <c r="AU99" s="7"/>
      <c r="AV99" s="5">
        <f>AV98+AV97</f>
        <v>1686</v>
      </c>
      <c r="AW99" s="10" t="s">
        <v>1</v>
      </c>
      <c r="AX99" s="8">
        <f>AX98+AX97</f>
        <v>109750</v>
      </c>
      <c r="AY99" s="7">
        <f t="shared" si="124"/>
        <v>0.17825311942959002</v>
      </c>
      <c r="AZ99" s="10" t="s">
        <v>1</v>
      </c>
      <c r="BA99" s="7">
        <f t="shared" si="125"/>
        <v>-1.7017465293327363</v>
      </c>
      <c r="BB99" s="7"/>
      <c r="BC99" s="5">
        <f>BC98+BC97</f>
        <v>1816</v>
      </c>
      <c r="BD99" s="10" t="s">
        <v>1</v>
      </c>
      <c r="BE99" s="8">
        <f>BE98+BE97</f>
        <v>116080</v>
      </c>
      <c r="BF99" s="7">
        <f t="shared" si="104"/>
        <v>7.710557532621589</v>
      </c>
      <c r="BG99" s="10" t="s">
        <v>1</v>
      </c>
      <c r="BH99" s="7">
        <f t="shared" si="105"/>
        <v>5.767653758542141</v>
      </c>
      <c r="BI99" s="7"/>
      <c r="BJ99" s="5">
        <f>BJ98+BJ97</f>
        <v>329</v>
      </c>
      <c r="BK99" s="10" t="s">
        <v>1</v>
      </c>
      <c r="BL99" s="8">
        <f>BL98+BL97</f>
        <v>126430</v>
      </c>
      <c r="BM99" s="7">
        <f t="shared" si="106"/>
        <v>-81.88325991189427</v>
      </c>
      <c r="BN99" s="10" t="s">
        <v>1</v>
      </c>
      <c r="BO99" s="7">
        <f t="shared" si="107"/>
        <v>8.916264645072363</v>
      </c>
      <c r="BP99" s="7"/>
      <c r="BQ99" s="5">
        <f>BQ98+BQ97</f>
        <v>296.61</v>
      </c>
      <c r="BR99" s="10" t="s">
        <v>1</v>
      </c>
      <c r="BS99" s="8">
        <f>BS98+BS97</f>
        <v>119998</v>
      </c>
      <c r="BT99" s="7">
        <f t="shared" si="108"/>
        <v>-9.844984802431608</v>
      </c>
      <c r="BU99" s="10" t="s">
        <v>1</v>
      </c>
      <c r="BV99" s="7">
        <f t="shared" si="109"/>
        <v>-5.087400142371273</v>
      </c>
    </row>
    <row r="100" spans="1:74" ht="12">
      <c r="A100" s="1" t="s">
        <v>83</v>
      </c>
      <c r="B100" s="5">
        <v>360</v>
      </c>
      <c r="C100" s="7">
        <v>143.2</v>
      </c>
      <c r="D100" s="8">
        <v>51100</v>
      </c>
      <c r="E100" s="8"/>
      <c r="F100" s="5">
        <v>361</v>
      </c>
      <c r="G100" s="7">
        <v>142.7</v>
      </c>
      <c r="H100" s="8">
        <v>51000</v>
      </c>
      <c r="I100" s="7">
        <f t="shared" si="112"/>
        <v>0.2777777777777778</v>
      </c>
      <c r="J100" s="7">
        <f>G100*100/C100-100</f>
        <v>-0.3491620111731844</v>
      </c>
      <c r="K100" s="7">
        <f t="shared" si="113"/>
        <v>-0.19569471624266147</v>
      </c>
      <c r="L100" s="7"/>
      <c r="M100" s="5">
        <v>454</v>
      </c>
      <c r="N100" s="7">
        <v>148.5</v>
      </c>
      <c r="O100" s="8">
        <v>66800</v>
      </c>
      <c r="P100" s="7">
        <f t="shared" si="126"/>
        <v>25.761772853185594</v>
      </c>
      <c r="Q100" s="7">
        <f>N100*100/G100-100</f>
        <v>4.064470918009819</v>
      </c>
      <c r="R100" s="7">
        <f t="shared" si="127"/>
        <v>30.980392156862745</v>
      </c>
      <c r="S100" s="7"/>
      <c r="T100" s="5">
        <v>594</v>
      </c>
      <c r="U100" s="7">
        <v>151.2</v>
      </c>
      <c r="V100" s="8">
        <v>87200</v>
      </c>
      <c r="W100" s="7">
        <f t="shared" si="128"/>
        <v>30.837004405286343</v>
      </c>
      <c r="X100" s="7">
        <f>U100*100/N100-100</f>
        <v>1.8181818181818106</v>
      </c>
      <c r="Y100" s="7">
        <f t="shared" si="129"/>
        <v>30.538922155688624</v>
      </c>
      <c r="Z100" s="7"/>
      <c r="AA100" s="5">
        <v>658</v>
      </c>
      <c r="AB100" s="7">
        <v>165.5</v>
      </c>
      <c r="AC100" s="8">
        <v>107400</v>
      </c>
      <c r="AD100" s="7">
        <f t="shared" si="118"/>
        <v>10.774410774410775</v>
      </c>
      <c r="AE100" s="7">
        <f>AB100*100/U100-100</f>
        <v>9.457671957671966</v>
      </c>
      <c r="AF100" s="7">
        <f t="shared" si="119"/>
        <v>23.165137614678898</v>
      </c>
      <c r="AG100" s="7"/>
      <c r="AH100" s="5">
        <v>655</v>
      </c>
      <c r="AI100" s="7">
        <v>167.8</v>
      </c>
      <c r="AJ100" s="8">
        <v>109100</v>
      </c>
      <c r="AK100" s="7">
        <f t="shared" si="120"/>
        <v>-0.45592705167173253</v>
      </c>
      <c r="AL100" s="7">
        <f>AI100*100/AB100-100</f>
        <v>1.389728096676744</v>
      </c>
      <c r="AM100" s="7">
        <f t="shared" si="121"/>
        <v>1.5828677839851024</v>
      </c>
      <c r="AN100" s="7"/>
      <c r="AO100" s="5">
        <v>695</v>
      </c>
      <c r="AP100" s="7">
        <v>158.7</v>
      </c>
      <c r="AQ100" s="8">
        <v>106900</v>
      </c>
      <c r="AR100" s="7">
        <f t="shared" si="122"/>
        <v>6.106870229007634</v>
      </c>
      <c r="AS100" s="7">
        <f>AP100*100/AI100-100</f>
        <v>-5.423122765196676</v>
      </c>
      <c r="AT100" s="7">
        <f t="shared" si="123"/>
        <v>-2.016498625114574</v>
      </c>
      <c r="AU100" s="7"/>
      <c r="AV100" s="5">
        <v>680</v>
      </c>
      <c r="AW100" s="7">
        <v>165.2</v>
      </c>
      <c r="AX100" s="8">
        <v>108500</v>
      </c>
      <c r="AY100" s="7">
        <f t="shared" si="124"/>
        <v>-2.158273381294964</v>
      </c>
      <c r="AZ100" s="7">
        <f>AW100*100/AP100-100</f>
        <v>4.095778197857594</v>
      </c>
      <c r="BA100" s="7">
        <f t="shared" si="125"/>
        <v>1.4967259120673526</v>
      </c>
      <c r="BB100" s="7"/>
      <c r="BC100" s="5">
        <v>637</v>
      </c>
      <c r="BD100" s="7">
        <v>157.7</v>
      </c>
      <c r="BE100" s="8">
        <v>99100</v>
      </c>
      <c r="BF100" s="7">
        <f t="shared" si="104"/>
        <v>-6.323529411764706</v>
      </c>
      <c r="BG100" s="7">
        <f>BD100*100/AW100-100</f>
        <v>-4.539951573849879</v>
      </c>
      <c r="BH100" s="7">
        <f t="shared" si="105"/>
        <v>-8.663594470046084</v>
      </c>
      <c r="BI100" s="7"/>
      <c r="BJ100" s="5">
        <v>639</v>
      </c>
      <c r="BK100" s="7">
        <v>156.3</v>
      </c>
      <c r="BL100" s="8">
        <v>94700</v>
      </c>
      <c r="BM100" s="7">
        <f t="shared" si="106"/>
        <v>0.3139717425431711</v>
      </c>
      <c r="BN100" s="7">
        <f>BK100*100/BD100-100</f>
        <v>-0.8877615726062</v>
      </c>
      <c r="BO100" s="7">
        <f t="shared" si="107"/>
        <v>-4.439959636730575</v>
      </c>
      <c r="BP100" s="7"/>
      <c r="BQ100" s="5">
        <v>621</v>
      </c>
      <c r="BR100" s="7">
        <v>165.4</v>
      </c>
      <c r="BS100" s="8">
        <v>99800</v>
      </c>
      <c r="BT100" s="7">
        <f t="shared" si="108"/>
        <v>-2.816901408450704</v>
      </c>
      <c r="BU100" s="7">
        <f>BR100*100/BK100-100</f>
        <v>5.822136916186816</v>
      </c>
      <c r="BV100" s="7">
        <f t="shared" si="109"/>
        <v>5.385427666314678</v>
      </c>
    </row>
    <row r="101" spans="1:74" ht="12">
      <c r="A101" s="1" t="s">
        <v>84</v>
      </c>
      <c r="B101" s="12">
        <v>7.6</v>
      </c>
      <c r="C101" s="7">
        <f>1500/B101</f>
        <v>197.3684210526316</v>
      </c>
      <c r="D101" s="8">
        <v>1440</v>
      </c>
      <c r="E101" s="8"/>
      <c r="F101" s="12">
        <v>8</v>
      </c>
      <c r="G101" s="7">
        <f>1700/F101</f>
        <v>212.5</v>
      </c>
      <c r="H101" s="8">
        <v>1550</v>
      </c>
      <c r="I101" s="7">
        <f t="shared" si="112"/>
        <v>5.263157894736847</v>
      </c>
      <c r="J101" s="7">
        <f>G101*100/C101-100</f>
        <v>7.666666666666661</v>
      </c>
      <c r="K101" s="7">
        <f t="shared" si="113"/>
        <v>7.638888888888889</v>
      </c>
      <c r="L101" s="7"/>
      <c r="M101" s="12">
        <v>8</v>
      </c>
      <c r="N101" s="5">
        <f>1750/M101</f>
        <v>218.75</v>
      </c>
      <c r="O101" s="8">
        <v>1570</v>
      </c>
      <c r="P101" s="7">
        <f t="shared" si="126"/>
        <v>0</v>
      </c>
      <c r="Q101" s="7">
        <f>N101*100/G101-100</f>
        <v>2.9411764705882355</v>
      </c>
      <c r="R101" s="7">
        <f t="shared" si="127"/>
        <v>1.2903225806451613</v>
      </c>
      <c r="S101" s="7"/>
      <c r="T101" s="5">
        <v>11</v>
      </c>
      <c r="U101" s="7">
        <v>226.4</v>
      </c>
      <c r="V101" s="8">
        <v>2300</v>
      </c>
      <c r="W101" s="7">
        <f t="shared" si="128"/>
        <v>37.5</v>
      </c>
      <c r="X101" s="7">
        <f>U101*100/N101-100</f>
        <v>3.4971428571428596</v>
      </c>
      <c r="Y101" s="7">
        <f t="shared" si="129"/>
        <v>46.496815286624205</v>
      </c>
      <c r="Z101" s="7"/>
      <c r="AA101" s="5">
        <v>10</v>
      </c>
      <c r="AB101" s="7">
        <v>250</v>
      </c>
      <c r="AC101" s="8">
        <v>2250</v>
      </c>
      <c r="AD101" s="7">
        <f t="shared" si="118"/>
        <v>-9.090909090909092</v>
      </c>
      <c r="AE101" s="7">
        <f>AB101*100/U101-100</f>
        <v>10.424028268551234</v>
      </c>
      <c r="AF101" s="7">
        <f t="shared" si="119"/>
        <v>-2.1739130434782608</v>
      </c>
      <c r="AG101" s="7"/>
      <c r="AH101" s="5">
        <v>1500</v>
      </c>
      <c r="AI101" s="7">
        <v>260</v>
      </c>
      <c r="AJ101" s="8">
        <v>3500</v>
      </c>
      <c r="AK101" s="7">
        <f t="shared" si="120"/>
        <v>14900</v>
      </c>
      <c r="AL101" s="7">
        <f>AI101*100/AB101-100</f>
        <v>4</v>
      </c>
      <c r="AM101" s="7">
        <f t="shared" si="121"/>
        <v>55.55555555555556</v>
      </c>
      <c r="AN101" s="7"/>
      <c r="AO101" s="5">
        <v>2000</v>
      </c>
      <c r="AP101" s="7">
        <v>261.5</v>
      </c>
      <c r="AQ101" s="8">
        <v>4700</v>
      </c>
      <c r="AR101" s="7">
        <f t="shared" si="122"/>
        <v>33.333333333333336</v>
      </c>
      <c r="AS101" s="7">
        <f>AP101*100/AI101-100</f>
        <v>0.5769230769230769</v>
      </c>
      <c r="AT101" s="7">
        <f t="shared" si="123"/>
        <v>34.285714285714285</v>
      </c>
      <c r="AU101" s="7"/>
      <c r="AV101" s="5">
        <v>2200</v>
      </c>
      <c r="AW101" s="7">
        <v>260</v>
      </c>
      <c r="AX101" s="8">
        <v>5110</v>
      </c>
      <c r="AY101" s="7">
        <f t="shared" si="124"/>
        <v>10</v>
      </c>
      <c r="AZ101" s="7">
        <f>AW101*100/AP101-100</f>
        <v>-0.5736137667304015</v>
      </c>
      <c r="BA101" s="7">
        <f t="shared" si="125"/>
        <v>8.72340425531915</v>
      </c>
      <c r="BB101" s="7"/>
      <c r="BC101" s="5">
        <v>2200</v>
      </c>
      <c r="BD101" s="7">
        <v>260</v>
      </c>
      <c r="BE101" s="8">
        <v>5030</v>
      </c>
      <c r="BF101" s="7">
        <f t="shared" si="104"/>
        <v>0</v>
      </c>
      <c r="BG101" s="7">
        <f>BD101*100/AW101-100</f>
        <v>0</v>
      </c>
      <c r="BH101" s="7">
        <f t="shared" si="105"/>
        <v>-1.5655577299412915</v>
      </c>
      <c r="BI101" s="7"/>
      <c r="BJ101" s="12">
        <v>22</v>
      </c>
      <c r="BK101" s="7">
        <v>300</v>
      </c>
      <c r="BL101" s="8">
        <v>6600</v>
      </c>
      <c r="BM101" s="7">
        <f t="shared" si="106"/>
        <v>-99</v>
      </c>
      <c r="BN101" s="7">
        <f>BK101*100/BD101-100</f>
        <v>15.384615384615385</v>
      </c>
      <c r="BO101" s="7">
        <f t="shared" si="107"/>
        <v>31.21272365805169</v>
      </c>
      <c r="BP101" s="7"/>
      <c r="BQ101" s="5">
        <v>23</v>
      </c>
      <c r="BR101" s="7">
        <v>350</v>
      </c>
      <c r="BS101" s="8">
        <v>8050</v>
      </c>
      <c r="BT101" s="7">
        <f t="shared" si="108"/>
        <v>4.545454545454546</v>
      </c>
      <c r="BU101" s="7">
        <f>BR101*100/BK101-100</f>
        <v>16.666666666666668</v>
      </c>
      <c r="BV101" s="7">
        <f t="shared" si="109"/>
        <v>21.96969696969697</v>
      </c>
    </row>
    <row r="102" spans="1:74" ht="12">
      <c r="A102" s="1" t="s">
        <v>8</v>
      </c>
      <c r="B102" s="5">
        <f>B101+B100</f>
        <v>367.6</v>
      </c>
      <c r="C102" s="10" t="s">
        <v>1</v>
      </c>
      <c r="D102" s="8">
        <f>D101+D100</f>
        <v>52540</v>
      </c>
      <c r="E102" s="8"/>
      <c r="F102" s="5">
        <f>F101+F100</f>
        <v>369</v>
      </c>
      <c r="G102" s="10" t="s">
        <v>1</v>
      </c>
      <c r="H102" s="8">
        <f>H101+H100</f>
        <v>52550</v>
      </c>
      <c r="I102" s="7">
        <f t="shared" si="112"/>
        <v>0.3808487486398197</v>
      </c>
      <c r="J102" s="10" t="s">
        <v>1</v>
      </c>
      <c r="K102" s="7">
        <f t="shared" si="113"/>
        <v>0.019033117624666918</v>
      </c>
      <c r="L102" s="7"/>
      <c r="M102" s="5">
        <f>M101+M100</f>
        <v>462</v>
      </c>
      <c r="N102" s="6" t="s">
        <v>1</v>
      </c>
      <c r="O102" s="8">
        <f>O101+O100</f>
        <v>68370</v>
      </c>
      <c r="P102" s="7">
        <f t="shared" si="126"/>
        <v>25.203252032520325</v>
      </c>
      <c r="Q102" s="10" t="s">
        <v>1</v>
      </c>
      <c r="R102" s="7">
        <f t="shared" si="127"/>
        <v>30.104662226450998</v>
      </c>
      <c r="S102" s="7"/>
      <c r="T102" s="5">
        <f>T101+T100</f>
        <v>605</v>
      </c>
      <c r="U102" s="6" t="s">
        <v>1</v>
      </c>
      <c r="V102" s="8">
        <f>V101+V100</f>
        <v>89500</v>
      </c>
      <c r="W102" s="7">
        <f t="shared" si="128"/>
        <v>30.952380952380953</v>
      </c>
      <c r="X102" s="10" t="s">
        <v>1</v>
      </c>
      <c r="Y102" s="7">
        <f t="shared" si="129"/>
        <v>30.90536785139681</v>
      </c>
      <c r="Z102" s="7"/>
      <c r="AA102" s="5">
        <f>AA101+AA100</f>
        <v>668</v>
      </c>
      <c r="AB102" s="6" t="s">
        <v>1</v>
      </c>
      <c r="AC102" s="8">
        <f>AC101+AC100</f>
        <v>109650</v>
      </c>
      <c r="AD102" s="7">
        <f t="shared" si="118"/>
        <v>10.413223140495868</v>
      </c>
      <c r="AE102" s="10" t="s">
        <v>1</v>
      </c>
      <c r="AF102" s="7">
        <f t="shared" si="119"/>
        <v>22.51396648044693</v>
      </c>
      <c r="AG102" s="7"/>
      <c r="AH102" s="5">
        <f>AH101+AH100</f>
        <v>2155</v>
      </c>
      <c r="AI102" s="10" t="s">
        <v>1</v>
      </c>
      <c r="AJ102" s="8">
        <f>AJ101+AJ100</f>
        <v>112600</v>
      </c>
      <c r="AK102" s="7">
        <f t="shared" si="120"/>
        <v>222.60479041916167</v>
      </c>
      <c r="AL102" s="10" t="s">
        <v>1</v>
      </c>
      <c r="AM102" s="7">
        <f t="shared" si="121"/>
        <v>2.6903784769721844</v>
      </c>
      <c r="AN102" s="7"/>
      <c r="AO102" s="5">
        <f>AO101+AO100</f>
        <v>2695</v>
      </c>
      <c r="AP102" s="10" t="s">
        <v>1</v>
      </c>
      <c r="AQ102" s="8">
        <f>AQ101+AQ100</f>
        <v>111600</v>
      </c>
      <c r="AR102" s="7">
        <f t="shared" si="122"/>
        <v>25.05800464037123</v>
      </c>
      <c r="AS102" s="10" t="s">
        <v>1</v>
      </c>
      <c r="AT102" s="7">
        <f t="shared" si="123"/>
        <v>-0.8880994671403197</v>
      </c>
      <c r="AU102" s="7"/>
      <c r="AV102" s="5">
        <f>AV101+AV100</f>
        <v>2880</v>
      </c>
      <c r="AW102" s="10" t="s">
        <v>1</v>
      </c>
      <c r="AX102" s="8">
        <f>AX101+AX100</f>
        <v>113610</v>
      </c>
      <c r="AY102" s="7">
        <f t="shared" si="124"/>
        <v>6.8645640074211505</v>
      </c>
      <c r="AZ102" s="10" t="s">
        <v>1</v>
      </c>
      <c r="BA102" s="7">
        <f t="shared" si="125"/>
        <v>1.8010752688172043</v>
      </c>
      <c r="BB102" s="7"/>
      <c r="BC102" s="5">
        <f>BC101+BC100</f>
        <v>2837</v>
      </c>
      <c r="BD102" s="10" t="s">
        <v>1</v>
      </c>
      <c r="BE102" s="8">
        <f>BE101+BE100</f>
        <v>104130</v>
      </c>
      <c r="BF102" s="7">
        <f t="shared" si="104"/>
        <v>-1.4930555555555556</v>
      </c>
      <c r="BG102" s="10" t="s">
        <v>1</v>
      </c>
      <c r="BH102" s="7">
        <f t="shared" si="105"/>
        <v>-8.344335885925535</v>
      </c>
      <c r="BI102" s="7"/>
      <c r="BJ102" s="5">
        <f>BJ101+BJ100</f>
        <v>661</v>
      </c>
      <c r="BK102" s="10" t="s">
        <v>1</v>
      </c>
      <c r="BL102" s="8">
        <f>BL101+BL100</f>
        <v>101300</v>
      </c>
      <c r="BM102" s="7">
        <f t="shared" si="106"/>
        <v>-76.70074021854072</v>
      </c>
      <c r="BN102" s="10" t="s">
        <v>1</v>
      </c>
      <c r="BO102" s="7">
        <f t="shared" si="107"/>
        <v>-2.71775665034092</v>
      </c>
      <c r="BP102" s="7"/>
      <c r="BQ102" s="5">
        <f>BQ101+BQ100</f>
        <v>644</v>
      </c>
      <c r="BR102" s="10" t="s">
        <v>1</v>
      </c>
      <c r="BS102" s="8">
        <f>BS101+BS100</f>
        <v>107850</v>
      </c>
      <c r="BT102" s="7">
        <f t="shared" si="108"/>
        <v>-2.571860816944024</v>
      </c>
      <c r="BU102" s="10" t="s">
        <v>1</v>
      </c>
      <c r="BV102" s="7">
        <f t="shared" si="109"/>
        <v>6.465942744323791</v>
      </c>
    </row>
    <row r="103" spans="1:74" ht="12">
      <c r="A103" s="1" t="s">
        <v>85</v>
      </c>
      <c r="B103" s="5">
        <v>637</v>
      </c>
      <c r="C103" s="7">
        <v>275.1</v>
      </c>
      <c r="D103" s="8">
        <v>164200</v>
      </c>
      <c r="E103" s="8"/>
      <c r="F103" s="5">
        <v>689</v>
      </c>
      <c r="G103" s="7">
        <v>232.6</v>
      </c>
      <c r="H103" s="8">
        <v>148900</v>
      </c>
      <c r="I103" s="7">
        <f t="shared" si="112"/>
        <v>8.16326530612245</v>
      </c>
      <c r="J103" s="7">
        <f>G103*100/C103-100</f>
        <v>-15.44892766266813</v>
      </c>
      <c r="K103" s="7">
        <f t="shared" si="113"/>
        <v>-9.317904993909867</v>
      </c>
      <c r="L103" s="7"/>
      <c r="M103" s="5">
        <v>683</v>
      </c>
      <c r="N103" s="7">
        <v>249.6</v>
      </c>
      <c r="O103" s="8">
        <v>156600</v>
      </c>
      <c r="P103" s="7">
        <f t="shared" si="126"/>
        <v>-0.8708272859216255</v>
      </c>
      <c r="Q103" s="7">
        <f>N103*100/G103-100</f>
        <v>7.308684436801376</v>
      </c>
      <c r="R103" s="7">
        <f t="shared" si="127"/>
        <v>5.171255876427132</v>
      </c>
      <c r="S103" s="7"/>
      <c r="T103" s="5">
        <v>685</v>
      </c>
      <c r="U103" s="7">
        <v>259.4</v>
      </c>
      <c r="V103" s="8">
        <v>170400</v>
      </c>
      <c r="W103" s="7">
        <f t="shared" si="128"/>
        <v>0.29282576866764276</v>
      </c>
      <c r="X103" s="7">
        <f>U103*100/N103-100</f>
        <v>3.9262820512820444</v>
      </c>
      <c r="Y103" s="7">
        <f t="shared" si="129"/>
        <v>8.812260536398467</v>
      </c>
      <c r="Z103" s="7"/>
      <c r="AA103" s="5">
        <v>675</v>
      </c>
      <c r="AB103" s="7">
        <v>258.5</v>
      </c>
      <c r="AC103" s="8">
        <v>167900</v>
      </c>
      <c r="AD103" s="7">
        <f t="shared" si="118"/>
        <v>-1.4598540145985401</v>
      </c>
      <c r="AE103" s="7">
        <f>AB103*100/U103-100</f>
        <v>-0.34695451040862657</v>
      </c>
      <c r="AF103" s="7">
        <f t="shared" si="119"/>
        <v>-1.4671361502347418</v>
      </c>
      <c r="AG103" s="7"/>
      <c r="AH103" s="5">
        <v>665</v>
      </c>
      <c r="AI103" s="7">
        <v>256.6</v>
      </c>
      <c r="AJ103" s="8">
        <v>167400</v>
      </c>
      <c r="AK103" s="7">
        <f t="shared" si="120"/>
        <v>-1.4814814814814814</v>
      </c>
      <c r="AL103" s="7">
        <f>AI103*100/AB103-100</f>
        <v>-0.7350096711798751</v>
      </c>
      <c r="AM103" s="7">
        <f t="shared" si="121"/>
        <v>-0.29779630732578916</v>
      </c>
      <c r="AN103" s="7"/>
      <c r="AO103" s="5">
        <v>695</v>
      </c>
      <c r="AP103" s="7">
        <v>281.2</v>
      </c>
      <c r="AQ103" s="8">
        <v>190800</v>
      </c>
      <c r="AR103" s="7">
        <f t="shared" si="122"/>
        <v>4.511278195488722</v>
      </c>
      <c r="AS103" s="7">
        <f>AP103*100/AI103-100</f>
        <v>9.58690568978954</v>
      </c>
      <c r="AT103" s="7">
        <f t="shared" si="123"/>
        <v>13.978494623655914</v>
      </c>
      <c r="AU103" s="7"/>
      <c r="AV103" s="5">
        <v>630</v>
      </c>
      <c r="AW103" s="7">
        <v>253</v>
      </c>
      <c r="AX103" s="8">
        <v>157000</v>
      </c>
      <c r="AY103" s="7">
        <f t="shared" si="124"/>
        <v>-9.352517985611511</v>
      </c>
      <c r="AZ103" s="7">
        <f>AW103*100/AP103-100</f>
        <v>-10.028449502133709</v>
      </c>
      <c r="BA103" s="7">
        <f t="shared" si="125"/>
        <v>-17.71488469601677</v>
      </c>
      <c r="BB103" s="7"/>
      <c r="BC103" s="5">
        <v>541</v>
      </c>
      <c r="BD103" s="7">
        <v>251.5</v>
      </c>
      <c r="BE103" s="8">
        <v>134400</v>
      </c>
      <c r="BF103" s="7">
        <f t="shared" si="104"/>
        <v>-14.126984126984127</v>
      </c>
      <c r="BG103" s="7">
        <f>BD103*100/AW103-100</f>
        <v>-0.5928853754940712</v>
      </c>
      <c r="BH103" s="7">
        <f t="shared" si="105"/>
        <v>-14.394904458598726</v>
      </c>
      <c r="BI103" s="7"/>
      <c r="BJ103" s="5">
        <v>485</v>
      </c>
      <c r="BK103" s="7">
        <v>240.5</v>
      </c>
      <c r="BL103" s="8">
        <v>116300</v>
      </c>
      <c r="BM103" s="7">
        <f t="shared" si="106"/>
        <v>-10.351201478743068</v>
      </c>
      <c r="BN103" s="7">
        <f>BK103*100/BD103-100</f>
        <v>-4.3737574552683895</v>
      </c>
      <c r="BO103" s="7">
        <f t="shared" si="107"/>
        <v>-13.467261904761905</v>
      </c>
      <c r="BP103" s="7"/>
      <c r="BQ103" s="13">
        <v>513</v>
      </c>
      <c r="BR103" s="7">
        <v>235.1</v>
      </c>
      <c r="BS103" s="8">
        <v>119300</v>
      </c>
      <c r="BT103" s="7">
        <f t="shared" si="108"/>
        <v>5.77319587628866</v>
      </c>
      <c r="BU103" s="7">
        <f>BR103*100/BK103-100</f>
        <v>-2.2453222453222477</v>
      </c>
      <c r="BV103" s="7">
        <f t="shared" si="109"/>
        <v>2.5795356835769563</v>
      </c>
    </row>
    <row r="104" spans="1:74" ht="12">
      <c r="A104" s="1" t="s">
        <v>86</v>
      </c>
      <c r="B104" s="12">
        <v>27.95</v>
      </c>
      <c r="C104" s="7">
        <f>10300/B104</f>
        <v>368.51520572450806</v>
      </c>
      <c r="D104" s="8">
        <v>9370</v>
      </c>
      <c r="E104" s="8"/>
      <c r="F104" s="12">
        <v>29.5</v>
      </c>
      <c r="G104" s="7">
        <f>11220/F104</f>
        <v>380.33898305084745</v>
      </c>
      <c r="H104" s="8">
        <v>10300</v>
      </c>
      <c r="I104" s="7">
        <f t="shared" si="112"/>
        <v>5.545617173524153</v>
      </c>
      <c r="J104" s="7">
        <f>G104*100/C104-100</f>
        <v>3.2084910317590847</v>
      </c>
      <c r="K104" s="7">
        <f t="shared" si="113"/>
        <v>9.925293489861259</v>
      </c>
      <c r="L104" s="7"/>
      <c r="M104" s="12">
        <v>35.3</v>
      </c>
      <c r="N104" s="5">
        <f>15540/M104</f>
        <v>440.22662889518415</v>
      </c>
      <c r="O104" s="8">
        <v>13380</v>
      </c>
      <c r="P104" s="7">
        <f t="shared" si="126"/>
        <v>19.661016949152533</v>
      </c>
      <c r="Q104" s="10" t="s">
        <v>1</v>
      </c>
      <c r="R104" s="7">
        <f t="shared" si="127"/>
        <v>29.902912621359224</v>
      </c>
      <c r="S104" s="7"/>
      <c r="T104" s="5">
        <v>39</v>
      </c>
      <c r="U104" s="7">
        <v>436.4</v>
      </c>
      <c r="V104" s="8">
        <v>15590</v>
      </c>
      <c r="W104" s="7">
        <f t="shared" si="128"/>
        <v>10.481586402266299</v>
      </c>
      <c r="X104" s="7">
        <f>U104*100/N104-100</f>
        <v>-0.8692406692406773</v>
      </c>
      <c r="Y104" s="7">
        <f t="shared" si="129"/>
        <v>16.517189835575486</v>
      </c>
      <c r="Z104" s="7"/>
      <c r="AA104" s="12">
        <v>44.45</v>
      </c>
      <c r="AB104" s="7">
        <v>435.3</v>
      </c>
      <c r="AC104" s="8">
        <v>17620</v>
      </c>
      <c r="AD104" s="7">
        <f t="shared" si="118"/>
        <v>13.974358974358982</v>
      </c>
      <c r="AE104" s="7">
        <f>AB104*100/U104-100</f>
        <v>-0.25206232813931395</v>
      </c>
      <c r="AF104" s="7">
        <f t="shared" si="119"/>
        <v>13.021167415009621</v>
      </c>
      <c r="AG104" s="7"/>
      <c r="AH104" s="5">
        <v>5050</v>
      </c>
      <c r="AI104" s="7">
        <v>442.6</v>
      </c>
      <c r="AJ104" s="8">
        <v>20400</v>
      </c>
      <c r="AK104" s="7">
        <f t="shared" si="120"/>
        <v>11261.079865016873</v>
      </c>
      <c r="AL104" s="7">
        <f>AI104*100/AB104-100</f>
        <v>1.6770043648058837</v>
      </c>
      <c r="AM104" s="7">
        <f t="shared" si="121"/>
        <v>15.777525539160045</v>
      </c>
      <c r="AN104" s="7"/>
      <c r="AO104" s="5">
        <v>5370</v>
      </c>
      <c r="AP104" s="7">
        <v>427.4</v>
      </c>
      <c r="AQ104" s="8">
        <v>20810</v>
      </c>
      <c r="AR104" s="7">
        <f t="shared" si="122"/>
        <v>6.336633663366337</v>
      </c>
      <c r="AS104" s="7">
        <f>AP104*100/AI104-100</f>
        <v>-3.4342521464076015</v>
      </c>
      <c r="AT104" s="7">
        <f t="shared" si="123"/>
        <v>2.0098039215686274</v>
      </c>
      <c r="AU104" s="7"/>
      <c r="AV104" s="5">
        <v>5950</v>
      </c>
      <c r="AW104" s="7">
        <v>417.3</v>
      </c>
      <c r="AX104" s="8">
        <v>22720</v>
      </c>
      <c r="AY104" s="7">
        <f t="shared" si="124"/>
        <v>10.80074487895717</v>
      </c>
      <c r="AZ104" s="7">
        <f>AW104*100/AP104-100</f>
        <v>-2.363125877398214</v>
      </c>
      <c r="BA104" s="7">
        <f t="shared" si="125"/>
        <v>9.178279673234021</v>
      </c>
      <c r="BB104" s="7"/>
      <c r="BC104" s="5">
        <v>5800</v>
      </c>
      <c r="BD104" s="7">
        <v>418.1</v>
      </c>
      <c r="BE104" s="8">
        <v>22640</v>
      </c>
      <c r="BF104" s="7">
        <f t="shared" si="104"/>
        <v>-2.5210084033613445</v>
      </c>
      <c r="BG104" s="7">
        <f>BD104*100/AW104-100</f>
        <v>0.19170860292355893</v>
      </c>
      <c r="BH104" s="7">
        <f t="shared" si="105"/>
        <v>-0.35211267605633806</v>
      </c>
      <c r="BI104" s="7"/>
      <c r="BJ104" s="12">
        <v>55.36</v>
      </c>
      <c r="BK104" s="7">
        <v>414.5</v>
      </c>
      <c r="BL104" s="8">
        <v>22719</v>
      </c>
      <c r="BM104" s="7">
        <f t="shared" si="106"/>
        <v>-99.04551724137932</v>
      </c>
      <c r="BN104" s="7">
        <f>BK104*100/BD104-100</f>
        <v>-0.8610380291796275</v>
      </c>
      <c r="BO104" s="7">
        <f t="shared" si="107"/>
        <v>0.3489399293286219</v>
      </c>
      <c r="BP104" s="7"/>
      <c r="BQ104" s="12">
        <v>52.95</v>
      </c>
      <c r="BR104" s="7">
        <v>409.4</v>
      </c>
      <c r="BS104" s="8">
        <v>21367</v>
      </c>
      <c r="BT104" s="7">
        <f t="shared" si="108"/>
        <v>-4.353323699421959</v>
      </c>
      <c r="BU104" s="7">
        <f>BR104*100/BK104-100</f>
        <v>-1.2303980699638173</v>
      </c>
      <c r="BV104" s="7">
        <f t="shared" si="109"/>
        <v>-5.950966151679212</v>
      </c>
    </row>
    <row r="105" spans="1:74" ht="12">
      <c r="A105" s="1" t="s">
        <v>87</v>
      </c>
      <c r="B105" s="5">
        <f>B104+B103</f>
        <v>664.95</v>
      </c>
      <c r="C105" s="10" t="s">
        <v>1</v>
      </c>
      <c r="D105" s="8">
        <f>D104+D103</f>
        <v>173570</v>
      </c>
      <c r="E105" s="8"/>
      <c r="F105" s="5">
        <f>F104+F103</f>
        <v>718.5</v>
      </c>
      <c r="G105" s="10" t="s">
        <v>1</v>
      </c>
      <c r="H105" s="8">
        <f>H104+H103</f>
        <v>159200</v>
      </c>
      <c r="I105" s="7">
        <f t="shared" si="112"/>
        <v>8.053237085495143</v>
      </c>
      <c r="J105" s="10" t="s">
        <v>1</v>
      </c>
      <c r="K105" s="7">
        <f t="shared" si="113"/>
        <v>-8.279080486259145</v>
      </c>
      <c r="L105" s="7"/>
      <c r="M105" s="5">
        <f>M104+M103</f>
        <v>718.3</v>
      </c>
      <c r="N105" s="6" t="s">
        <v>1</v>
      </c>
      <c r="O105" s="8">
        <f>O104+O103</f>
        <v>169980</v>
      </c>
      <c r="P105" s="7">
        <f t="shared" si="126"/>
        <v>-0.02783576896312394</v>
      </c>
      <c r="Q105" s="10" t="s">
        <v>1</v>
      </c>
      <c r="R105" s="7">
        <f t="shared" si="127"/>
        <v>6.771356783919598</v>
      </c>
      <c r="S105" s="7"/>
      <c r="T105" s="5">
        <f>T104+T103</f>
        <v>724</v>
      </c>
      <c r="U105" s="6" t="s">
        <v>1</v>
      </c>
      <c r="V105" s="8">
        <f>V104+V103</f>
        <v>185990</v>
      </c>
      <c r="W105" s="7">
        <f t="shared" si="128"/>
        <v>0.7935403034943681</v>
      </c>
      <c r="X105" s="10" t="s">
        <v>1</v>
      </c>
      <c r="Y105" s="7">
        <f t="shared" si="129"/>
        <v>9.418755147664431</v>
      </c>
      <c r="Z105" s="7"/>
      <c r="AA105" s="5">
        <f>AA104+AA103</f>
        <v>719.45</v>
      </c>
      <c r="AB105" s="6" t="s">
        <v>1</v>
      </c>
      <c r="AC105" s="8">
        <f>AC104+AC103</f>
        <v>185520</v>
      </c>
      <c r="AD105" s="7">
        <f t="shared" si="118"/>
        <v>-0.6284530386740269</v>
      </c>
      <c r="AE105" s="10" t="s">
        <v>1</v>
      </c>
      <c r="AF105" s="7">
        <f t="shared" si="119"/>
        <v>-0.25270175815904083</v>
      </c>
      <c r="AG105" s="7"/>
      <c r="AH105" s="5">
        <f>AH104+AH103</f>
        <v>5715</v>
      </c>
      <c r="AI105" s="10" t="s">
        <v>1</v>
      </c>
      <c r="AJ105" s="8">
        <f>AJ104+AJ103</f>
        <v>187800</v>
      </c>
      <c r="AK105" s="7">
        <f t="shared" si="120"/>
        <v>694.3568003335881</v>
      </c>
      <c r="AL105" s="10" t="s">
        <v>1</v>
      </c>
      <c r="AM105" s="7">
        <f t="shared" si="121"/>
        <v>1.2289780077619663</v>
      </c>
      <c r="AN105" s="7"/>
      <c r="AO105" s="5">
        <f>AO104+AO103</f>
        <v>6065</v>
      </c>
      <c r="AP105" s="10" t="s">
        <v>1</v>
      </c>
      <c r="AQ105" s="8">
        <f>AQ104+AQ103</f>
        <v>211610</v>
      </c>
      <c r="AR105" s="7">
        <f t="shared" si="122"/>
        <v>6.124234470691164</v>
      </c>
      <c r="AS105" s="10" t="s">
        <v>1</v>
      </c>
      <c r="AT105" s="7">
        <f t="shared" si="123"/>
        <v>12.678381256656017</v>
      </c>
      <c r="AU105" s="7"/>
      <c r="AV105" s="5">
        <f>AV104+AV103</f>
        <v>6580</v>
      </c>
      <c r="AW105" s="10" t="s">
        <v>1</v>
      </c>
      <c r="AX105" s="8">
        <f>AX104+AX103</f>
        <v>179720</v>
      </c>
      <c r="AY105" s="7">
        <f t="shared" si="124"/>
        <v>8.491343775762573</v>
      </c>
      <c r="AZ105" s="10" t="s">
        <v>1</v>
      </c>
      <c r="BA105" s="7">
        <f t="shared" si="125"/>
        <v>-15.070176267662209</v>
      </c>
      <c r="BB105" s="7"/>
      <c r="BC105" s="5">
        <f>BC104+BC103</f>
        <v>6341</v>
      </c>
      <c r="BD105" s="10" t="s">
        <v>1</v>
      </c>
      <c r="BE105" s="8">
        <f>BE104+BE103</f>
        <v>157040</v>
      </c>
      <c r="BF105" s="7">
        <f t="shared" si="104"/>
        <v>-3.6322188449848025</v>
      </c>
      <c r="BG105" s="10" t="s">
        <v>1</v>
      </c>
      <c r="BH105" s="7">
        <f t="shared" si="105"/>
        <v>-12.61963053638994</v>
      </c>
      <c r="BI105" s="7"/>
      <c r="BJ105" s="5">
        <f>BJ104+BJ103</f>
        <v>540.36</v>
      </c>
      <c r="BK105" s="10" t="s">
        <v>1</v>
      </c>
      <c r="BL105" s="8">
        <f>BL104+BL103</f>
        <v>139019</v>
      </c>
      <c r="BM105" s="7">
        <f t="shared" si="106"/>
        <v>-91.47831572307207</v>
      </c>
      <c r="BN105" s="10" t="s">
        <v>1</v>
      </c>
      <c r="BO105" s="7">
        <f t="shared" si="107"/>
        <v>-11.47542027508915</v>
      </c>
      <c r="BP105" s="7"/>
      <c r="BQ105" s="5">
        <f>BQ104+BQ103</f>
        <v>565.95</v>
      </c>
      <c r="BR105" s="10" t="s">
        <v>1</v>
      </c>
      <c r="BS105" s="8">
        <f>BS104+BS103</f>
        <v>140667</v>
      </c>
      <c r="BT105" s="7">
        <f t="shared" si="108"/>
        <v>4.7357317343992955</v>
      </c>
      <c r="BU105" s="10" t="s">
        <v>1</v>
      </c>
      <c r="BV105" s="7">
        <f t="shared" si="109"/>
        <v>1.1854494709356276</v>
      </c>
    </row>
    <row r="106" spans="1:74" ht="12">
      <c r="A106" s="1" t="s">
        <v>88</v>
      </c>
      <c r="B106" s="5">
        <v>128280</v>
      </c>
      <c r="C106" s="7">
        <v>496.9</v>
      </c>
      <c r="D106" s="8">
        <v>62903400</v>
      </c>
      <c r="E106" s="8"/>
      <c r="F106" s="5">
        <v>135100</v>
      </c>
      <c r="G106" s="7">
        <v>539.7</v>
      </c>
      <c r="H106" s="8">
        <v>72017600</v>
      </c>
      <c r="I106" s="7">
        <f t="shared" si="112"/>
        <v>5.316495166822576</v>
      </c>
      <c r="J106" s="7">
        <f>G106*100/C106-100</f>
        <v>8.613403099215148</v>
      </c>
      <c r="K106" s="7">
        <f t="shared" si="113"/>
        <v>14.489200901700068</v>
      </c>
      <c r="L106" s="7"/>
      <c r="M106" s="5">
        <v>118810</v>
      </c>
      <c r="N106" s="7">
        <v>510.1</v>
      </c>
      <c r="O106" s="8">
        <v>60063800</v>
      </c>
      <c r="P106" s="7">
        <f t="shared" si="126"/>
        <v>-12.057735011102887</v>
      </c>
      <c r="Q106" s="7">
        <f>N106*100/G106-100</f>
        <v>-5.484528441726889</v>
      </c>
      <c r="R106" s="7">
        <f t="shared" si="127"/>
        <v>-16.598442602919285</v>
      </c>
      <c r="S106" s="7"/>
      <c r="T106" s="5">
        <v>119570</v>
      </c>
      <c r="U106" s="7">
        <v>468.7</v>
      </c>
      <c r="V106" s="8">
        <v>55558900</v>
      </c>
      <c r="W106" s="7">
        <f t="shared" si="128"/>
        <v>0.6396767948825857</v>
      </c>
      <c r="X106" s="7">
        <f>U106*100/N106-100</f>
        <v>-8.11605567535778</v>
      </c>
      <c r="Y106" s="7">
        <f t="shared" si="129"/>
        <v>-7.500191463077594</v>
      </c>
      <c r="Z106" s="7"/>
      <c r="AA106" s="5">
        <v>128163</v>
      </c>
      <c r="AB106" s="7">
        <v>544.7</v>
      </c>
      <c r="AC106" s="8">
        <v>68968700</v>
      </c>
      <c r="AD106" s="7">
        <f t="shared" si="118"/>
        <v>7.186585263862173</v>
      </c>
      <c r="AE106" s="7">
        <f>AB106*100/U106-100</f>
        <v>16.215062940046952</v>
      </c>
      <c r="AF106" s="7">
        <f t="shared" si="119"/>
        <v>24.136187001542506</v>
      </c>
      <c r="AG106" s="7"/>
      <c r="AH106" s="5">
        <v>131000</v>
      </c>
      <c r="AI106" s="7">
        <v>492.8</v>
      </c>
      <c r="AJ106" s="8">
        <v>64096400</v>
      </c>
      <c r="AK106" s="7">
        <f t="shared" si="120"/>
        <v>2.21358738481465</v>
      </c>
      <c r="AL106" s="7">
        <f>AI106*100/AB106-100</f>
        <v>-9.528180649899033</v>
      </c>
      <c r="AM106" s="7">
        <f t="shared" si="121"/>
        <v>-7.0645089729109</v>
      </c>
      <c r="AN106" s="7"/>
      <c r="AO106" s="5">
        <v>141925</v>
      </c>
      <c r="AP106" s="7">
        <v>597.2</v>
      </c>
      <c r="AQ106" s="8">
        <v>83448400</v>
      </c>
      <c r="AR106" s="7">
        <f t="shared" si="122"/>
        <v>8.33969465648855</v>
      </c>
      <c r="AS106" s="7">
        <f>AP106*100/AI106-100</f>
        <v>21.18506493506494</v>
      </c>
      <c r="AT106" s="7">
        <f t="shared" si="123"/>
        <v>30.192023264957157</v>
      </c>
      <c r="AU106" s="7"/>
      <c r="AV106" s="5">
        <v>126420</v>
      </c>
      <c r="AW106" s="7">
        <v>471.4</v>
      </c>
      <c r="AX106" s="8">
        <v>58846200</v>
      </c>
      <c r="AY106" s="7">
        <f t="shared" si="124"/>
        <v>-10.924784217016029</v>
      </c>
      <c r="AZ106" s="7">
        <f>AW106*100/AP106-100</f>
        <v>-21.064969859343613</v>
      </c>
      <c r="BA106" s="7">
        <f t="shared" si="125"/>
        <v>-29.481931349193033</v>
      </c>
      <c r="BB106" s="7"/>
      <c r="BC106" s="5">
        <v>110090</v>
      </c>
      <c r="BD106" s="7">
        <v>461</v>
      </c>
      <c r="BE106" s="8">
        <v>50091900</v>
      </c>
      <c r="BF106" s="7">
        <f t="shared" si="104"/>
        <v>-12.917259927226704</v>
      </c>
      <c r="BG106" s="7">
        <f>BD106*100/AW106-100</f>
        <v>-2.2061943148069534</v>
      </c>
      <c r="BH106" s="7">
        <f t="shared" si="105"/>
        <v>-14.876576567390927</v>
      </c>
      <c r="BI106" s="7"/>
      <c r="BJ106" s="5">
        <v>107628</v>
      </c>
      <c r="BK106" s="7">
        <v>545.4</v>
      </c>
      <c r="BL106" s="8">
        <v>58705600</v>
      </c>
      <c r="BM106" s="7">
        <f t="shared" si="106"/>
        <v>-2.23635207557453</v>
      </c>
      <c r="BN106" s="7">
        <f>BK106*100/BD106-100</f>
        <v>18.308026030368758</v>
      </c>
      <c r="BO106" s="7">
        <f t="shared" si="107"/>
        <v>17.195794130388347</v>
      </c>
      <c r="BP106" s="7"/>
      <c r="BQ106" s="5">
        <v>98330</v>
      </c>
      <c r="BR106" s="7">
        <v>420.1</v>
      </c>
      <c r="BS106" s="8">
        <v>40916500</v>
      </c>
      <c r="BT106" s="7">
        <f t="shared" si="108"/>
        <v>-8.639015869476344</v>
      </c>
      <c r="BU106" s="7">
        <f>BR106*100/BK106-100</f>
        <v>-22.973964063072966</v>
      </c>
      <c r="BV106" s="7">
        <f t="shared" si="109"/>
        <v>-30.302219890436348</v>
      </c>
    </row>
    <row r="107" spans="1:74" ht="12">
      <c r="A107" s="1" t="s">
        <v>89</v>
      </c>
      <c r="C107" s="7"/>
      <c r="D107" s="8"/>
      <c r="E107" s="8"/>
      <c r="G107" s="7"/>
      <c r="H107" s="8"/>
      <c r="I107" s="7"/>
      <c r="J107" s="7"/>
      <c r="K107" s="7"/>
      <c r="L107" s="7"/>
      <c r="O107" s="8"/>
      <c r="P107" s="7"/>
      <c r="Q107" s="7"/>
      <c r="R107" s="7"/>
      <c r="S107" s="7"/>
      <c r="V107" s="8"/>
      <c r="W107" s="7"/>
      <c r="X107" s="7"/>
      <c r="Y107" s="7"/>
      <c r="Z107" s="7"/>
      <c r="AC107" s="8"/>
      <c r="AD107" s="7"/>
      <c r="AE107" s="7"/>
      <c r="AF107" s="7"/>
      <c r="AG107" s="7"/>
      <c r="AK107" s="7"/>
      <c r="AL107" s="7"/>
      <c r="AM107" s="7"/>
      <c r="AN107" s="7"/>
      <c r="AO107" s="5">
        <v>50</v>
      </c>
      <c r="AP107" s="7">
        <v>33</v>
      </c>
      <c r="AQ107" s="8">
        <v>1700</v>
      </c>
      <c r="AR107" s="7" t="e">
        <f t="shared" si="122"/>
        <v>#VALUE!</v>
      </c>
      <c r="AS107" s="7" t="e">
        <f>AP107*100/AI107-100</f>
        <v>#VALUE!</v>
      </c>
      <c r="AT107" s="7" t="e">
        <f t="shared" si="123"/>
        <v>#VALUE!</v>
      </c>
      <c r="AU107" s="7"/>
      <c r="AV107" s="5">
        <v>1004</v>
      </c>
      <c r="AW107" s="7">
        <v>36.9</v>
      </c>
      <c r="AX107" s="8">
        <v>37000</v>
      </c>
      <c r="AY107" s="7">
        <f t="shared" si="124"/>
        <v>1908</v>
      </c>
      <c r="AZ107" s="7">
        <f>AW107*100/AP107-100</f>
        <v>11.818181818181813</v>
      </c>
      <c r="BA107" s="7">
        <f t="shared" si="125"/>
        <v>2076.470588235294</v>
      </c>
      <c r="BB107" s="7"/>
      <c r="BC107" s="5">
        <v>5650</v>
      </c>
      <c r="BD107" s="7">
        <v>26.2</v>
      </c>
      <c r="BE107" s="8">
        <v>147900</v>
      </c>
      <c r="BF107" s="7">
        <f t="shared" si="104"/>
        <v>462.74900398406373</v>
      </c>
      <c r="BG107" s="7">
        <f>BD107*100/AW107-100</f>
        <v>-28.99728997289973</v>
      </c>
      <c r="BH107" s="7">
        <f t="shared" si="105"/>
        <v>299.72972972972974</v>
      </c>
      <c r="BI107" s="7"/>
      <c r="BJ107" s="5">
        <v>6746</v>
      </c>
      <c r="BK107" s="7">
        <v>34.6</v>
      </c>
      <c r="BL107" s="8">
        <v>233500</v>
      </c>
      <c r="BM107" s="7">
        <f t="shared" si="106"/>
        <v>19.398230088495577</v>
      </c>
      <c r="BN107" s="7">
        <f>BK107*100/BD107-100</f>
        <v>32.061068702290086</v>
      </c>
      <c r="BO107" s="7">
        <f t="shared" si="107"/>
        <v>57.87694388100068</v>
      </c>
      <c r="BP107" s="7"/>
      <c r="BQ107" s="5">
        <v>22875</v>
      </c>
      <c r="BR107" s="7">
        <v>30.3</v>
      </c>
      <c r="BS107" s="8">
        <v>693900</v>
      </c>
      <c r="BT107" s="7">
        <f t="shared" si="108"/>
        <v>239.08983101096948</v>
      </c>
      <c r="BU107" s="7">
        <f>BR107*100/BK107-100</f>
        <v>-12.427745664739886</v>
      </c>
      <c r="BV107" s="7">
        <f t="shared" si="109"/>
        <v>197.17344753747324</v>
      </c>
    </row>
    <row r="108" spans="1:74" ht="12">
      <c r="A108" s="1" t="s">
        <v>90</v>
      </c>
      <c r="B108" s="5">
        <v>1698</v>
      </c>
      <c r="C108" s="7">
        <v>22.6</v>
      </c>
      <c r="D108" s="8">
        <v>38000</v>
      </c>
      <c r="E108" s="8"/>
      <c r="F108" s="5">
        <v>1310</v>
      </c>
      <c r="G108" s="7">
        <v>19.2</v>
      </c>
      <c r="H108" s="8">
        <v>25100</v>
      </c>
      <c r="I108" s="7">
        <f aca="true" t="shared" si="130" ref="I108:K109">F108*100/B108-100</f>
        <v>-22.850412249705535</v>
      </c>
      <c r="J108" s="7">
        <f t="shared" si="130"/>
        <v>-15.044247787610628</v>
      </c>
      <c r="K108" s="7">
        <f t="shared" si="130"/>
        <v>-33.94736842105263</v>
      </c>
      <c r="L108" s="7"/>
      <c r="M108" s="5">
        <v>165</v>
      </c>
      <c r="N108" s="7">
        <v>22.4</v>
      </c>
      <c r="O108" s="8">
        <v>2700</v>
      </c>
      <c r="P108" s="7">
        <f aca="true" t="shared" si="131" ref="P108:R109">M108*100/F108-100</f>
        <v>-87.40458015267176</v>
      </c>
      <c r="Q108" s="7">
        <f t="shared" si="131"/>
        <v>16.666666666666664</v>
      </c>
      <c r="R108" s="7">
        <f t="shared" si="131"/>
        <v>-89.24302788844622</v>
      </c>
      <c r="S108" s="7"/>
      <c r="T108" s="6" t="s">
        <v>1</v>
      </c>
      <c r="U108" s="6" t="s">
        <v>1</v>
      </c>
      <c r="V108" s="9" t="s">
        <v>1</v>
      </c>
      <c r="W108" s="7">
        <f aca="true" t="shared" si="132" ref="W108:Y109">T108*100/M108-100</f>
        <v>-100</v>
      </c>
      <c r="X108" s="7">
        <f t="shared" si="132"/>
        <v>-100</v>
      </c>
      <c r="Y108" s="7">
        <f t="shared" si="132"/>
        <v>-100</v>
      </c>
      <c r="Z108" s="7"/>
      <c r="AA108" s="6" t="s">
        <v>1</v>
      </c>
      <c r="AB108" s="6" t="s">
        <v>1</v>
      </c>
      <c r="AC108" s="9" t="s">
        <v>1</v>
      </c>
      <c r="AD108" s="7" t="e">
        <f aca="true" t="shared" si="133" ref="AD108:AF109">AA108*100/T108-100</f>
        <v>#VALUE!</v>
      </c>
      <c r="AE108" s="7" t="e">
        <f t="shared" si="133"/>
        <v>#VALUE!</v>
      </c>
      <c r="AF108" s="7" t="e">
        <f t="shared" si="133"/>
        <v>#VALUE!</v>
      </c>
      <c r="AG108" s="7"/>
      <c r="AH108" s="6" t="s">
        <v>1</v>
      </c>
      <c r="AI108" s="6" t="s">
        <v>1</v>
      </c>
      <c r="AJ108" s="6" t="s">
        <v>1</v>
      </c>
      <c r="AK108" s="7" t="e">
        <f aca="true" t="shared" si="134" ref="AK108:AM109">AH108*100/AA108-100</f>
        <v>#VALUE!</v>
      </c>
      <c r="AL108" s="7" t="e">
        <f t="shared" si="134"/>
        <v>#VALUE!</v>
      </c>
      <c r="AM108" s="7" t="e">
        <f t="shared" si="134"/>
        <v>#VALUE!</v>
      </c>
      <c r="AN108" s="7"/>
      <c r="AO108" s="6" t="s">
        <v>1</v>
      </c>
      <c r="AP108" s="6" t="s">
        <v>1</v>
      </c>
      <c r="AQ108" s="6" t="s">
        <v>1</v>
      </c>
      <c r="AR108" s="7" t="e">
        <f t="shared" si="122"/>
        <v>#VALUE!</v>
      </c>
      <c r="AS108" s="7" t="e">
        <f>AP108*100/AI108-100</f>
        <v>#VALUE!</v>
      </c>
      <c r="AT108" s="7" t="e">
        <f t="shared" si="123"/>
        <v>#VALUE!</v>
      </c>
      <c r="AU108" s="7"/>
      <c r="AV108" s="6" t="s">
        <v>1</v>
      </c>
      <c r="AW108" s="6" t="s">
        <v>1</v>
      </c>
      <c r="AX108" s="6" t="s">
        <v>1</v>
      </c>
      <c r="AY108" s="7" t="e">
        <f t="shared" si="124"/>
        <v>#VALUE!</v>
      </c>
      <c r="AZ108" s="7" t="e">
        <f>AW108*100/AP108-100</f>
        <v>#VALUE!</v>
      </c>
      <c r="BA108" s="7" t="e">
        <f t="shared" si="125"/>
        <v>#VALUE!</v>
      </c>
      <c r="BB108" s="7"/>
      <c r="BC108" s="6" t="s">
        <v>1</v>
      </c>
      <c r="BD108" s="6" t="s">
        <v>1</v>
      </c>
      <c r="BE108" s="6" t="s">
        <v>1</v>
      </c>
      <c r="BF108" s="7" t="e">
        <f t="shared" si="104"/>
        <v>#VALUE!</v>
      </c>
      <c r="BG108" s="7" t="e">
        <f>BD108*100/AW108-100</f>
        <v>#VALUE!</v>
      </c>
      <c r="BH108" s="7" t="e">
        <f t="shared" si="105"/>
        <v>#VALUE!</v>
      </c>
      <c r="BI108" s="7"/>
      <c r="BJ108" s="5">
        <v>242</v>
      </c>
      <c r="BK108" s="7">
        <v>27.47</v>
      </c>
      <c r="BL108" s="8">
        <v>6600</v>
      </c>
      <c r="BM108" s="7" t="e">
        <f t="shared" si="106"/>
        <v>#VALUE!</v>
      </c>
      <c r="BN108" s="7" t="e">
        <f>BK108*100/BD108-100</f>
        <v>#VALUE!</v>
      </c>
      <c r="BO108" s="7" t="e">
        <f t="shared" si="107"/>
        <v>#VALUE!</v>
      </c>
      <c r="BP108" s="7"/>
      <c r="BQ108" s="5">
        <v>1178</v>
      </c>
      <c r="BR108" s="7">
        <f>BS108/BQ108</f>
        <v>22.32597623089983</v>
      </c>
      <c r="BS108" s="8">
        <v>26300</v>
      </c>
      <c r="BT108" s="7">
        <f t="shared" si="108"/>
        <v>386.77685950413223</v>
      </c>
      <c r="BU108" s="7">
        <f>BR108*100/BK108-100</f>
        <v>-18.725969308701018</v>
      </c>
      <c r="BV108" s="7">
        <f t="shared" si="109"/>
        <v>298.4848484848485</v>
      </c>
    </row>
    <row r="109" spans="1:74" ht="12">
      <c r="A109" s="1" t="s">
        <v>91</v>
      </c>
      <c r="D109" s="8"/>
      <c r="E109" s="8"/>
      <c r="H109" s="8"/>
      <c r="I109" s="7" t="e">
        <f t="shared" si="130"/>
        <v>#VALUE!</v>
      </c>
      <c r="J109" s="7" t="e">
        <f t="shared" si="130"/>
        <v>#VALUE!</v>
      </c>
      <c r="K109" s="7" t="e">
        <f t="shared" si="130"/>
        <v>#VALUE!</v>
      </c>
      <c r="L109" s="7"/>
      <c r="O109" s="8"/>
      <c r="P109" s="7" t="e">
        <f t="shared" si="131"/>
        <v>#VALUE!</v>
      </c>
      <c r="Q109" s="7" t="e">
        <f t="shared" si="131"/>
        <v>#VALUE!</v>
      </c>
      <c r="R109" s="7" t="e">
        <f t="shared" si="131"/>
        <v>#VALUE!</v>
      </c>
      <c r="S109" s="7"/>
      <c r="V109" s="8"/>
      <c r="W109" s="7" t="e">
        <f t="shared" si="132"/>
        <v>#VALUE!</v>
      </c>
      <c r="X109" s="7" t="e">
        <f t="shared" si="132"/>
        <v>#VALUE!</v>
      </c>
      <c r="Y109" s="7" t="e">
        <f t="shared" si="132"/>
        <v>#VALUE!</v>
      </c>
      <c r="Z109" s="7"/>
      <c r="AC109" s="8"/>
      <c r="AD109" s="7" t="e">
        <f t="shared" si="133"/>
        <v>#VALUE!</v>
      </c>
      <c r="AE109" s="7" t="e">
        <f t="shared" si="133"/>
        <v>#VALUE!</v>
      </c>
      <c r="AF109" s="7" t="e">
        <f t="shared" si="133"/>
        <v>#VALUE!</v>
      </c>
      <c r="AG109" s="7"/>
      <c r="AK109" s="7" t="e">
        <f t="shared" si="134"/>
        <v>#VALUE!</v>
      </c>
      <c r="AL109" s="7" t="e">
        <f t="shared" si="134"/>
        <v>#VALUE!</v>
      </c>
      <c r="AM109" s="7" t="e">
        <f t="shared" si="134"/>
        <v>#VALUE!</v>
      </c>
      <c r="AN109" s="7"/>
      <c r="AR109" s="7" t="e">
        <f t="shared" si="122"/>
        <v>#VALUE!</v>
      </c>
      <c r="AS109" s="7" t="e">
        <f>AP109*100/AI109-100</f>
        <v>#VALUE!</v>
      </c>
      <c r="AT109" s="7" t="e">
        <f t="shared" si="123"/>
        <v>#VALUE!</v>
      </c>
      <c r="AU109" s="7"/>
      <c r="AY109" s="7" t="e">
        <f t="shared" si="124"/>
        <v>#VALUE!</v>
      </c>
      <c r="AZ109" s="7" t="e">
        <f>AW109*100/AP109-100</f>
        <v>#VALUE!</v>
      </c>
      <c r="BA109" s="7" t="e">
        <f t="shared" si="125"/>
        <v>#VALUE!</v>
      </c>
      <c r="BB109" s="7"/>
      <c r="BF109" s="7" t="e">
        <f t="shared" si="104"/>
        <v>#VALUE!</v>
      </c>
      <c r="BG109" s="7" t="e">
        <f>BD109*100/AW109-100</f>
        <v>#VALUE!</v>
      </c>
      <c r="BH109" s="7" t="e">
        <f t="shared" si="105"/>
        <v>#VALUE!</v>
      </c>
      <c r="BI109" s="7"/>
      <c r="BM109" s="7" t="e">
        <f t="shared" si="106"/>
        <v>#VALUE!</v>
      </c>
      <c r="BN109" s="7" t="e">
        <f>BK109*100/BD109-100</f>
        <v>#VALUE!</v>
      </c>
      <c r="BO109" s="7" t="e">
        <f t="shared" si="107"/>
        <v>#VALUE!</v>
      </c>
      <c r="BP109" s="7"/>
      <c r="BQ109" s="5">
        <v>23</v>
      </c>
      <c r="BR109" s="7">
        <v>28.7</v>
      </c>
      <c r="BS109" s="8">
        <v>660</v>
      </c>
      <c r="BT109" s="7" t="e">
        <f t="shared" si="108"/>
        <v>#VALUE!</v>
      </c>
      <c r="BU109" s="7" t="e">
        <f>BR109*100/BK109-100</f>
        <v>#VALUE!</v>
      </c>
      <c r="BV109" s="7" t="e">
        <f t="shared" si="109"/>
        <v>#VALUE!</v>
      </c>
    </row>
    <row r="110" ht="12">
      <c r="A110" s="1" t="s">
        <v>92</v>
      </c>
    </row>
    <row r="111" spans="1:74" ht="12.75" thickBot="1">
      <c r="A111" s="21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</row>
    <row r="112" spans="1:74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</row>
    <row r="113" ht="12">
      <c r="A113" s="1" t="s">
        <v>97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</cp:lastModifiedBy>
  <dcterms:created xsi:type="dcterms:W3CDTF">2006-04-10T12:34:08Z</dcterms:created>
  <dcterms:modified xsi:type="dcterms:W3CDTF">2007-10-19T07:54:29Z</dcterms:modified>
  <cp:category/>
  <cp:version/>
  <cp:contentType/>
  <cp:contentStatus/>
</cp:coreProperties>
</file>