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330" windowHeight="8625" activeTab="1"/>
  </bookViews>
  <sheets>
    <sheet name="Emilia-Romagna" sheetId="1" r:id="rId1"/>
    <sheet name="Italia" sheetId="2" r:id="rId2"/>
  </sheets>
  <definedNames>
    <definedName name="_92">'Emilia-Romagna'!$AV$12:$AX$113</definedName>
    <definedName name="_Regression_Int" localSheetId="0" hidden="1">1</definedName>
    <definedName name="_xlnm.Print_Area" localSheetId="0">'Emilia-Romagna'!$A$6:$A$111</definedName>
    <definedName name="Area_stampa_MI" localSheetId="0">'Emilia-Romagna'!$A$6:$A$111</definedName>
    <definedName name="N">#N/A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<sst xmlns="http://schemas.openxmlformats.org/spreadsheetml/2006/main" count="4382" uniqueCount="154">
  <si>
    <t>AGRICOLTURA. COLTURE ERBACEE (a).</t>
  </si>
  <si>
    <t>-</t>
  </si>
  <si>
    <t xml:space="preserve">1996 </t>
  </si>
  <si>
    <t>Area</t>
  </si>
  <si>
    <t>Resa</t>
  </si>
  <si>
    <t>Raccolto</t>
  </si>
  <si>
    <t>Var.%</t>
  </si>
  <si>
    <t>Colture</t>
  </si>
  <si>
    <t>Totale</t>
  </si>
  <si>
    <t>area</t>
  </si>
  <si>
    <t>resa</t>
  </si>
  <si>
    <t>raccolto</t>
  </si>
  <si>
    <t>Frumento tenero</t>
  </si>
  <si>
    <t>Frumento duro</t>
  </si>
  <si>
    <t>Segale</t>
  </si>
  <si>
    <t>Orzo</t>
  </si>
  <si>
    <t>Avena</t>
  </si>
  <si>
    <t>Mais ibrido</t>
  </si>
  <si>
    <t>Mais nostrano</t>
  </si>
  <si>
    <t>Riso</t>
  </si>
  <si>
    <t>Sorgo da gr.</t>
  </si>
  <si>
    <t>Fava da gr.</t>
  </si>
  <si>
    <t>Fagiuolo da gr.</t>
  </si>
  <si>
    <t>Pisello da gr.</t>
  </si>
  <si>
    <t>Pisello proteico</t>
  </si>
  <si>
    <t>Veccia da gr.</t>
  </si>
  <si>
    <t>Patata comune</t>
  </si>
  <si>
    <t>Patata primaticcia</t>
  </si>
  <si>
    <t>Aglio e scalogno</t>
  </si>
  <si>
    <t>Asparago</t>
  </si>
  <si>
    <t>Asparago in serra</t>
  </si>
  <si>
    <t>Totale asparago</t>
  </si>
  <si>
    <t>Barbabietola da orto</t>
  </si>
  <si>
    <t>Barbabiet. da orto in serra</t>
  </si>
  <si>
    <t>Totale barbabietola</t>
  </si>
  <si>
    <t>Basilico in serra</t>
  </si>
  <si>
    <t>Bietola da costa</t>
  </si>
  <si>
    <t>Bietola in serra</t>
  </si>
  <si>
    <t>Totale bietola</t>
  </si>
  <si>
    <t>Carciofo</t>
  </si>
  <si>
    <t>Cardo</t>
  </si>
  <si>
    <t>Carota e pastinaca</t>
  </si>
  <si>
    <t>Carota in serra</t>
  </si>
  <si>
    <t>Totale carota</t>
  </si>
  <si>
    <t>Cavolo cappuccio</t>
  </si>
  <si>
    <t>Cavolo verza</t>
  </si>
  <si>
    <t>Cetriolini da sottaceto</t>
  </si>
  <si>
    <t>Cetriolo da mensa</t>
  </si>
  <si>
    <t>Cetriolo da mensa in serra</t>
  </si>
  <si>
    <t>Totale cetriolo</t>
  </si>
  <si>
    <t>Cipolla</t>
  </si>
  <si>
    <t>Cocomero</t>
  </si>
  <si>
    <t>Cocomero in serra</t>
  </si>
  <si>
    <t>Totale cocomero</t>
  </si>
  <si>
    <t>Fagiuolo fresco e fagiuolino</t>
  </si>
  <si>
    <t>Fagiuolini in serra</t>
  </si>
  <si>
    <t>Totale fagiuolo fresco</t>
  </si>
  <si>
    <t>_</t>
  </si>
  <si>
    <t>Fava fresca</t>
  </si>
  <si>
    <t>Finocchio</t>
  </si>
  <si>
    <t>Finocchio in serra</t>
  </si>
  <si>
    <t>Totale finocchio</t>
  </si>
  <si>
    <t xml:space="preserve">Fragola </t>
  </si>
  <si>
    <t>Fragola in serra</t>
  </si>
  <si>
    <t>Totale fragola</t>
  </si>
  <si>
    <t>Indivia (riccia e scarola)</t>
  </si>
  <si>
    <t>Indivia in serra</t>
  </si>
  <si>
    <t>Totale  indivia</t>
  </si>
  <si>
    <t>Lattuga</t>
  </si>
  <si>
    <t>Lattuga in serra</t>
  </si>
  <si>
    <t>Totale lattuga</t>
  </si>
  <si>
    <t>Melanzana</t>
  </si>
  <si>
    <t>Melanzana in serra</t>
  </si>
  <si>
    <t>Totale melanzana</t>
  </si>
  <si>
    <t>Melone in serra</t>
  </si>
  <si>
    <t>Totale melone</t>
  </si>
  <si>
    <t>Peperone</t>
  </si>
  <si>
    <t>Peperone in serra</t>
  </si>
  <si>
    <t>Totale peperone</t>
  </si>
  <si>
    <t>Pisello fresco</t>
  </si>
  <si>
    <t>Pisello fresco in serra</t>
  </si>
  <si>
    <t>Totale pisello fresco</t>
  </si>
  <si>
    <t>Pomodoro</t>
  </si>
  <si>
    <t>Pomodoro in serra</t>
  </si>
  <si>
    <t>Totale pomodoro</t>
  </si>
  <si>
    <t>Porro</t>
  </si>
  <si>
    <t>Prezzemolo</t>
  </si>
  <si>
    <t>Prezzemolo in serra</t>
  </si>
  <si>
    <t>Totale prezzemolo</t>
  </si>
  <si>
    <t>Radicchio o cicoria</t>
  </si>
  <si>
    <t>Radicchio o cic. in serra</t>
  </si>
  <si>
    <t>Totale radicchio</t>
  </si>
  <si>
    <t>Ravanello</t>
  </si>
  <si>
    <t>Ravanello in serra</t>
  </si>
  <si>
    <t>Totale ravanello</t>
  </si>
  <si>
    <t>Sedano</t>
  </si>
  <si>
    <t>Sedano in serra</t>
  </si>
  <si>
    <t>Totale sedano</t>
  </si>
  <si>
    <t>Spinacio</t>
  </si>
  <si>
    <t>Spinacio in serra</t>
  </si>
  <si>
    <t>Totale spinacio</t>
  </si>
  <si>
    <t>Valeriana in serra</t>
  </si>
  <si>
    <t>Zucca Zucchine</t>
  </si>
  <si>
    <t>Zucchine in serra</t>
  </si>
  <si>
    <t>Totale zucche e zucchine</t>
  </si>
  <si>
    <t>Barbabietola da zucc.</t>
  </si>
  <si>
    <t>Soia</t>
  </si>
  <si>
    <t>Girasole</t>
  </si>
  <si>
    <t>Tabacco</t>
  </si>
  <si>
    <t>Colza</t>
  </si>
  <si>
    <t>Lino (b)</t>
  </si>
  <si>
    <t>Canapa</t>
  </si>
  <si>
    <t>CEREALI</t>
  </si>
  <si>
    <t>LEGUMINOSE DA GRANELLA</t>
  </si>
  <si>
    <t>ORTICOLE</t>
  </si>
  <si>
    <t>COLTIVAZIONI INDUSTRIALI</t>
  </si>
  <si>
    <t>(a) I dati sono derivati da stime che i referenti provinciali effettuano avvalendosi della conoscenza del territorio, integrata dall'esperienza, dalle</t>
  </si>
  <si>
    <t>L'Ufficio informativo e statistica coordina a livello regionale, queste indagini estimative e ne comunica i risultati all'Istat che li divulga tramite le seguenti pubblicazioni:</t>
  </si>
  <si>
    <t>- Annuario di statistica agraria (dati disaggregati per province)</t>
  </si>
  <si>
    <t>- Bollettino mensile di statistica (dati riepilogati a livello nazionale)</t>
  </si>
  <si>
    <t>- Annuario statistico italiano (principali dati regionali)</t>
  </si>
  <si>
    <t>- On line: http://www.istat.it/imprese/agricoltur/index/htm</t>
  </si>
  <si>
    <t>FILE: ERBACEE2.XLS</t>
  </si>
  <si>
    <t>Cavolfiore e cavolo broccolo</t>
  </si>
  <si>
    <t>(aree in ettari; rese e raccolto in quintali)</t>
  </si>
  <si>
    <t>informazioni e dalle indicazioni raccolte presso enti, consorzi, associazioni produttori ecc. che operano nel mondo agricolo</t>
  </si>
  <si>
    <t>I dati possono essere integrati con informazioni provenienti dall'Assessorato regionale all'agricoltura</t>
  </si>
  <si>
    <t>La resa per ettaro è data dal rapporto fra la produzione, che non sempre coincide con il raccolto, e le aree in produzione</t>
  </si>
  <si>
    <t>I dati di superficie si riferiscono a quella sia in produzione che non in produzione</t>
  </si>
  <si>
    <t>(b) Produzione in seme</t>
  </si>
  <si>
    <t>Fonte: Istat</t>
  </si>
  <si>
    <t>Melone o popone</t>
  </si>
  <si>
    <t>Media decennale di investimenti, rese e raccolti.</t>
  </si>
  <si>
    <t>Arachide</t>
  </si>
  <si>
    <t>Produzione</t>
  </si>
  <si>
    <t>produzione</t>
  </si>
  <si>
    <t>ITALIA.</t>
  </si>
  <si>
    <t>Emilia-Romagna su Italia in %.</t>
  </si>
  <si>
    <t>….</t>
  </si>
  <si>
    <t>(….) Dati non disponibili.</t>
  </si>
  <si>
    <t>Cece</t>
  </si>
  <si>
    <t>Risone</t>
  </si>
  <si>
    <t>Emilia-Romagna.</t>
  </si>
  <si>
    <t>Altri cereali</t>
  </si>
  <si>
    <t>Barbabietola da orto in serra</t>
  </si>
  <si>
    <t>PERIODO: 1985 - 2015.</t>
  </si>
  <si>
    <t>PERIODO: 2007 - 2015.</t>
  </si>
  <si>
    <t>Periodo 2005-2014.</t>
  </si>
  <si>
    <t>Anno 2015 su media 10 anni precedenti</t>
  </si>
  <si>
    <t>Anno 2015</t>
  </si>
  <si>
    <t>Fonte: Istat (dati aggiornati il 15 aprile 2016).</t>
  </si>
  <si>
    <t>Barbabietola da zucchero</t>
  </si>
  <si>
    <t>Funghi di coltivazione</t>
  </si>
  <si>
    <t>Lenticchia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</si>
</sst>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)"/>
    <numFmt numFmtId="165" formatCode="0.0_)"/>
    <numFmt numFmtId="166" formatCode="#,##0_);\(#,##0\)"/>
    <numFmt numFmtId="167" formatCode="0.00_)"/>
    <numFmt numFmtId="168" formatCode="#,##0.0_);\(#,##0.0\)"/>
    <numFmt numFmtId="169" formatCode="#,##0.00_);\(#,##0.00\)"/>
    <numFmt numFmtId="170" formatCode="#,##0.000_);\(#,##0.000\)"/>
    <numFmt numFmtId="171" formatCode="0.000_)"/>
    <numFmt numFmtId="172" formatCode="0.0"/>
    <numFmt numFmtId="173" formatCode="#,##0.0"/>
    <numFmt numFmtId="174" formatCode="0.0_ ;[Red]\-0.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Attivo&quot;;&quot;Attivo&quot;;&quot;Inattivo&quot;"/>
    <numFmt numFmtId="180" formatCode="#,##0.000"/>
    <numFmt numFmtId="181" formatCode="#,##0.000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sz val="10"/>
      <name val="Courier"/>
      <family val="3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3" fillId="0" borderId="0" xfId="0" applyFont="1" applyAlignment="1" applyProtection="1">
      <alignment horizontal="left"/>
      <protection locked="0"/>
    </xf>
    <xf numFmtId="164" fontId="2" fillId="0" borderId="10" xfId="0" applyFont="1" applyBorder="1" applyAlignment="1" applyProtection="1">
      <alignment horizontal="fill"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center"/>
      <protection/>
    </xf>
    <xf numFmtId="164" fontId="2" fillId="0" borderId="11" xfId="0" applyFont="1" applyBorder="1" applyAlignment="1" applyProtection="1">
      <alignment horizontal="fill"/>
      <protection/>
    </xf>
    <xf numFmtId="165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4" fontId="2" fillId="0" borderId="12" xfId="0" applyFont="1" applyBorder="1" applyAlignment="1" applyProtection="1">
      <alignment horizontal="fill"/>
      <protection/>
    </xf>
    <xf numFmtId="164" fontId="2" fillId="0" borderId="12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13" xfId="0" applyFont="1" applyBorder="1" applyAlignment="1" applyProtection="1">
      <alignment horizontal="fill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fill"/>
      <protection/>
    </xf>
    <xf numFmtId="3" fontId="2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 locked="0"/>
    </xf>
    <xf numFmtId="3" fontId="2" fillId="0" borderId="13" xfId="0" applyNumberFormat="1" applyFont="1" applyBorder="1" applyAlignment="1" applyProtection="1">
      <alignment horizontal="fill"/>
      <protection/>
    </xf>
    <xf numFmtId="4" fontId="3" fillId="0" borderId="0" xfId="0" applyNumberFormat="1" applyFont="1" applyAlignment="1" applyProtection="1">
      <alignment/>
      <protection locked="0"/>
    </xf>
    <xf numFmtId="174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 horizontal="center"/>
      <protection/>
    </xf>
    <xf numFmtId="174" fontId="2" fillId="0" borderId="0" xfId="0" applyNumberFormat="1" applyFont="1" applyAlignment="1">
      <alignment/>
    </xf>
    <xf numFmtId="174" fontId="2" fillId="0" borderId="13" xfId="0" applyNumberFormat="1" applyFont="1" applyBorder="1" applyAlignment="1" applyProtection="1">
      <alignment horizontal="fill"/>
      <protection/>
    </xf>
    <xf numFmtId="164" fontId="2" fillId="0" borderId="14" xfId="0" applyFont="1" applyBorder="1" applyAlignment="1">
      <alignment/>
    </xf>
    <xf numFmtId="164" fontId="2" fillId="0" borderId="15" xfId="0" applyFont="1" applyBorder="1" applyAlignment="1">
      <alignment/>
    </xf>
    <xf numFmtId="3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12" xfId="0" applyFont="1" applyBorder="1" applyAlignment="1">
      <alignment/>
    </xf>
    <xf numFmtId="4" fontId="3" fillId="0" borderId="0" xfId="0" applyNumberFormat="1" applyFont="1" applyAlignment="1" applyProtection="1" quotePrefix="1">
      <alignment/>
      <protection locked="0"/>
    </xf>
    <xf numFmtId="166" fontId="3" fillId="0" borderId="0" xfId="0" applyNumberFormat="1" applyFont="1" applyAlignment="1" applyProtection="1" quotePrefix="1">
      <alignment/>
      <protection locked="0"/>
    </xf>
    <xf numFmtId="3" fontId="3" fillId="0" borderId="0" xfId="0" applyNumberFormat="1" applyFont="1" applyAlignment="1" applyProtection="1" quotePrefix="1">
      <alignment/>
      <protection locked="0"/>
    </xf>
    <xf numFmtId="4" fontId="2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2" fillId="0" borderId="16" xfId="0" applyFont="1" applyBorder="1" applyAlignment="1">
      <alignment/>
    </xf>
    <xf numFmtId="3" fontId="3" fillId="0" borderId="0" xfId="0" applyNumberFormat="1" applyFont="1" applyAlignment="1" applyProtection="1" quotePrefix="1">
      <alignment horizontal="center"/>
      <protection locked="0"/>
    </xf>
    <xf numFmtId="164" fontId="2" fillId="0" borderId="0" xfId="0" applyFont="1" applyBorder="1" applyAlignment="1" applyProtection="1" quotePrefix="1">
      <alignment horizontal="left"/>
      <protection/>
    </xf>
    <xf numFmtId="168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/>
      <protection locked="0"/>
    </xf>
    <xf numFmtId="164" fontId="2" fillId="0" borderId="0" xfId="0" applyFont="1" applyBorder="1" applyAlignment="1" applyProtection="1">
      <alignment/>
      <protection/>
    </xf>
    <xf numFmtId="174" fontId="2" fillId="0" borderId="0" xfId="0" applyNumberFormat="1" applyFont="1" applyBorder="1" applyAlignment="1" applyProtection="1">
      <alignment horizontal="fill"/>
      <protection/>
    </xf>
    <xf numFmtId="164" fontId="5" fillId="0" borderId="0" xfId="0" applyFont="1" applyAlignment="1">
      <alignment vertical="center" wrapText="1"/>
    </xf>
    <xf numFmtId="164" fontId="0" fillId="0" borderId="0" xfId="0" applyAlignment="1">
      <alignment vertical="center" wrapText="1"/>
    </xf>
    <xf numFmtId="164" fontId="0" fillId="0" borderId="0" xfId="0" applyFont="1" applyAlignment="1">
      <alignment vertical="center" wrapText="1"/>
    </xf>
    <xf numFmtId="164" fontId="5" fillId="0" borderId="0" xfId="0" applyFont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R137"/>
  <sheetViews>
    <sheetView zoomScalePageLayoutView="0" workbookViewId="0" topLeftCell="A1">
      <pane xSplit="1" ySplit="10" topLeftCell="HY8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A110" sqref="IA110:IB110"/>
    </sheetView>
  </sheetViews>
  <sheetFormatPr defaultColWidth="11.625" defaultRowHeight="12.75"/>
  <cols>
    <col min="1" max="1" width="21.625" style="2" customWidth="1"/>
    <col min="2" max="4" width="11.625" style="2" customWidth="1"/>
    <col min="5" max="5" width="0.875" style="2" customWidth="1"/>
    <col min="6" max="11" width="11.625" style="2" customWidth="1"/>
    <col min="12" max="12" width="0.875" style="2" customWidth="1"/>
    <col min="13" max="18" width="11.625" style="2" customWidth="1"/>
    <col min="19" max="19" width="0.875" style="2" customWidth="1"/>
    <col min="20" max="25" width="11.625" style="2" customWidth="1"/>
    <col min="26" max="26" width="0.875" style="2" customWidth="1"/>
    <col min="27" max="32" width="11.625" style="2" customWidth="1"/>
    <col min="33" max="33" width="0.875" style="2" customWidth="1"/>
    <col min="34" max="39" width="11.625" style="2" customWidth="1"/>
    <col min="40" max="40" width="0.875" style="2" customWidth="1"/>
    <col min="41" max="46" width="11.625" style="2" customWidth="1"/>
    <col min="47" max="47" width="0.875" style="2" customWidth="1"/>
    <col min="48" max="53" width="11.625" style="2" customWidth="1"/>
    <col min="54" max="54" width="0.875" style="2" customWidth="1"/>
    <col min="55" max="60" width="11.625" style="2" customWidth="1"/>
    <col min="61" max="61" width="0.875" style="2" customWidth="1"/>
    <col min="62" max="67" width="11.625" style="2" customWidth="1"/>
    <col min="68" max="68" width="0.875" style="2" customWidth="1"/>
    <col min="69" max="74" width="11.625" style="2" customWidth="1"/>
    <col min="75" max="75" width="0.875" style="2" customWidth="1"/>
    <col min="76" max="81" width="11.625" style="2" customWidth="1"/>
    <col min="82" max="82" width="0.875" style="2" customWidth="1"/>
    <col min="83" max="88" width="11.625" style="2" customWidth="1"/>
    <col min="89" max="89" width="0.875" style="2" customWidth="1"/>
    <col min="90" max="95" width="11.625" style="2" customWidth="1"/>
    <col min="96" max="96" width="0.875" style="2" customWidth="1"/>
    <col min="97" max="102" width="11.625" style="2" customWidth="1"/>
    <col min="103" max="103" width="0.875" style="2" customWidth="1"/>
    <col min="104" max="109" width="11.625" style="2" customWidth="1"/>
    <col min="110" max="110" width="0.875" style="2" customWidth="1"/>
    <col min="111" max="116" width="11.625" style="2" customWidth="1"/>
    <col min="117" max="117" width="0.875" style="2" customWidth="1"/>
    <col min="118" max="123" width="11.625" style="2" customWidth="1"/>
    <col min="124" max="124" width="0.875" style="2" customWidth="1"/>
    <col min="125" max="130" width="11.625" style="2" customWidth="1"/>
    <col min="131" max="131" width="0.875" style="2" customWidth="1"/>
    <col min="132" max="137" width="11.625" style="2" customWidth="1"/>
    <col min="138" max="138" width="0.875" style="2" customWidth="1"/>
    <col min="139" max="140" width="11.625" style="2" customWidth="1"/>
    <col min="141" max="141" width="11.875" style="2" bestFit="1" customWidth="1"/>
    <col min="142" max="144" width="11.625" style="2" customWidth="1"/>
    <col min="145" max="145" width="0.875" style="2" customWidth="1"/>
    <col min="146" max="147" width="11.625" style="2" customWidth="1"/>
    <col min="148" max="148" width="11.875" style="2" bestFit="1" customWidth="1"/>
    <col min="149" max="151" width="11.625" style="2" customWidth="1"/>
    <col min="152" max="152" width="0.875" style="2" customWidth="1"/>
    <col min="153" max="159" width="11.625" style="2" customWidth="1"/>
    <col min="160" max="160" width="0.875" style="2" customWidth="1"/>
    <col min="161" max="168" width="11.625" style="2" customWidth="1"/>
    <col min="169" max="169" width="0.6171875" style="2" customWidth="1"/>
    <col min="170" max="177" width="11.625" style="2" customWidth="1"/>
    <col min="178" max="178" width="0.6171875" style="2" customWidth="1"/>
    <col min="179" max="186" width="11.625" style="2" customWidth="1"/>
    <col min="187" max="187" width="0.6171875" style="2" customWidth="1"/>
    <col min="188" max="195" width="11.625" style="2" customWidth="1"/>
    <col min="196" max="196" width="0.6171875" style="2" customWidth="1"/>
    <col min="197" max="204" width="11.625" style="2" customWidth="1"/>
    <col min="205" max="205" width="0.6171875" style="2" customWidth="1"/>
    <col min="206" max="213" width="11.625" style="2" customWidth="1"/>
    <col min="214" max="214" width="0.6171875" style="2" customWidth="1"/>
    <col min="215" max="222" width="11.625" style="2" customWidth="1"/>
    <col min="223" max="223" width="0.6171875" style="2" customWidth="1"/>
    <col min="224" max="231" width="11.625" style="2" customWidth="1"/>
    <col min="232" max="232" width="0.6171875" style="2" customWidth="1"/>
    <col min="233" max="241" width="11.625" style="2" customWidth="1"/>
    <col min="242" max="242" width="21.625" style="2" customWidth="1"/>
    <col min="243" max="16384" width="11.625" style="2" customWidth="1"/>
  </cols>
  <sheetData>
    <row r="1" ht="12">
      <c r="A1" s="1" t="s">
        <v>0</v>
      </c>
    </row>
    <row r="2" spans="1:170" ht="12">
      <c r="A2" s="1" t="s">
        <v>124</v>
      </c>
      <c r="FN2" s="20"/>
    </row>
    <row r="3" spans="1:250" ht="12">
      <c r="A3" s="3" t="s">
        <v>145</v>
      </c>
      <c r="FN3" s="20"/>
      <c r="HD3" s="30"/>
      <c r="IP3" s="2" t="s">
        <v>137</v>
      </c>
    </row>
    <row r="4" spans="1:250" ht="12">
      <c r="A4" s="37" t="s">
        <v>142</v>
      </c>
      <c r="IH4" s="2" t="s">
        <v>132</v>
      </c>
      <c r="IP4" s="31" t="s">
        <v>149</v>
      </c>
    </row>
    <row r="5" spans="1:242" ht="12.75" thickBot="1">
      <c r="A5" s="1" t="s">
        <v>122</v>
      </c>
      <c r="IH5" s="31" t="s">
        <v>147</v>
      </c>
    </row>
    <row r="6" spans="1:252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18"/>
      <c r="IH6" s="27"/>
      <c r="II6" s="27"/>
      <c r="IJ6" s="27"/>
      <c r="IK6" s="27"/>
      <c r="IL6" s="27"/>
      <c r="IM6" s="27"/>
      <c r="IN6" s="27"/>
      <c r="IP6" s="4"/>
      <c r="IQ6" s="4"/>
      <c r="IR6" s="4"/>
    </row>
    <row r="7" spans="2:250" ht="12">
      <c r="B7" s="5">
        <v>1985</v>
      </c>
      <c r="F7" s="5">
        <v>1986</v>
      </c>
      <c r="K7" s="5">
        <v>1986</v>
      </c>
      <c r="L7" s="5"/>
      <c r="M7" s="5">
        <v>1987</v>
      </c>
      <c r="R7" s="5">
        <v>1987</v>
      </c>
      <c r="S7" s="5"/>
      <c r="T7" s="5">
        <v>1988</v>
      </c>
      <c r="Y7" s="5">
        <v>1988</v>
      </c>
      <c r="Z7" s="5"/>
      <c r="AA7" s="5">
        <v>1989</v>
      </c>
      <c r="AF7" s="5">
        <v>1989</v>
      </c>
      <c r="AG7" s="5"/>
      <c r="AH7" s="5">
        <v>1990</v>
      </c>
      <c r="AM7" s="5">
        <v>1990</v>
      </c>
      <c r="AN7" s="5"/>
      <c r="AO7" s="5">
        <v>1991</v>
      </c>
      <c r="AT7" s="5">
        <v>1991</v>
      </c>
      <c r="AU7" s="5"/>
      <c r="AV7" s="5">
        <v>1992</v>
      </c>
      <c r="BA7" s="5">
        <v>1992</v>
      </c>
      <c r="BB7" s="5"/>
      <c r="BC7" s="5">
        <v>1993</v>
      </c>
      <c r="BH7" s="5">
        <v>1993</v>
      </c>
      <c r="BI7" s="5"/>
      <c r="BJ7" s="5">
        <v>1994</v>
      </c>
      <c r="BO7" s="5">
        <v>1994</v>
      </c>
      <c r="BP7" s="5"/>
      <c r="BQ7" s="5">
        <v>1995</v>
      </c>
      <c r="BV7" s="5">
        <v>1995</v>
      </c>
      <c r="BW7" s="5"/>
      <c r="BX7" s="1" t="s">
        <v>2</v>
      </c>
      <c r="CC7" s="5">
        <v>1996</v>
      </c>
      <c r="CD7" s="5"/>
      <c r="CE7" s="5">
        <v>1997</v>
      </c>
      <c r="CJ7" s="5">
        <v>1997</v>
      </c>
      <c r="CK7" s="5"/>
      <c r="CL7" s="5">
        <v>1998</v>
      </c>
      <c r="CQ7" s="5">
        <v>1998</v>
      </c>
      <c r="CR7" s="5"/>
      <c r="CS7" s="5">
        <v>1999</v>
      </c>
      <c r="CX7" s="5">
        <v>1999</v>
      </c>
      <c r="CY7" s="5"/>
      <c r="CZ7" s="5">
        <v>2000</v>
      </c>
      <c r="DE7" s="5">
        <v>2000</v>
      </c>
      <c r="DF7" s="5"/>
      <c r="DG7" s="5">
        <v>2001</v>
      </c>
      <c r="DL7" s="5">
        <v>2001</v>
      </c>
      <c r="DM7" s="5"/>
      <c r="DN7" s="5">
        <v>2002</v>
      </c>
      <c r="DS7" s="5">
        <v>2002</v>
      </c>
      <c r="DT7" s="5"/>
      <c r="DU7" s="5">
        <v>2003</v>
      </c>
      <c r="DZ7" s="5">
        <v>2003</v>
      </c>
      <c r="EA7" s="5"/>
      <c r="EB7" s="5">
        <v>2004</v>
      </c>
      <c r="EG7" s="5">
        <v>2004</v>
      </c>
      <c r="EH7" s="5"/>
      <c r="EI7" s="5">
        <v>2005</v>
      </c>
      <c r="EN7" s="5">
        <v>2005</v>
      </c>
      <c r="EO7" s="5"/>
      <c r="EP7" s="5">
        <v>2006</v>
      </c>
      <c r="EU7" s="5">
        <v>2006</v>
      </c>
      <c r="EV7" s="5"/>
      <c r="EW7" s="5">
        <v>2007</v>
      </c>
      <c r="FC7" s="5">
        <v>2007</v>
      </c>
      <c r="FD7" s="5"/>
      <c r="FE7" s="5">
        <v>2008</v>
      </c>
      <c r="FL7" s="5">
        <v>2008</v>
      </c>
      <c r="FM7" s="5"/>
      <c r="FN7" s="5">
        <v>2009</v>
      </c>
      <c r="FU7" s="5">
        <v>2009</v>
      </c>
      <c r="FV7" s="5"/>
      <c r="FW7" s="5">
        <v>2010</v>
      </c>
      <c r="GD7" s="5">
        <v>2010</v>
      </c>
      <c r="GE7" s="43"/>
      <c r="GF7" s="5">
        <v>2011</v>
      </c>
      <c r="GM7" s="5">
        <v>2011</v>
      </c>
      <c r="GN7" s="43"/>
      <c r="GO7" s="5">
        <v>2012</v>
      </c>
      <c r="GV7" s="5">
        <v>2012</v>
      </c>
      <c r="GW7" s="43"/>
      <c r="GX7" s="5">
        <v>2013</v>
      </c>
      <c r="HE7" s="5">
        <v>2013</v>
      </c>
      <c r="HF7" s="43"/>
      <c r="HG7" s="5">
        <v>2014</v>
      </c>
      <c r="HN7" s="5">
        <v>2014</v>
      </c>
      <c r="HO7" s="43"/>
      <c r="HP7" s="5">
        <v>2015</v>
      </c>
      <c r="HW7" s="5">
        <v>2015</v>
      </c>
      <c r="HX7" s="43"/>
      <c r="HY7" s="5">
        <v>2016</v>
      </c>
      <c r="IF7" s="5">
        <v>2016</v>
      </c>
      <c r="IG7" s="5"/>
      <c r="IL7" s="2" t="s">
        <v>148</v>
      </c>
      <c r="IP7" s="5">
        <v>2015</v>
      </c>
    </row>
    <row r="8" spans="2:252" ht="12">
      <c r="B8" s="12"/>
      <c r="C8" s="12"/>
      <c r="D8" s="13"/>
      <c r="E8" s="14"/>
      <c r="F8" s="12"/>
      <c r="G8" s="12"/>
      <c r="H8" s="12"/>
      <c r="I8" s="12"/>
      <c r="J8" s="12"/>
      <c r="K8" s="13"/>
      <c r="L8" s="14"/>
      <c r="M8" s="12"/>
      <c r="N8" s="12"/>
      <c r="O8" s="12"/>
      <c r="P8" s="12"/>
      <c r="Q8" s="12"/>
      <c r="R8" s="13"/>
      <c r="S8" s="14"/>
      <c r="T8" s="12"/>
      <c r="U8" s="12"/>
      <c r="V8" s="12"/>
      <c r="W8" s="12"/>
      <c r="X8" s="12"/>
      <c r="Y8" s="13"/>
      <c r="Z8" s="14"/>
      <c r="AA8" s="12"/>
      <c r="AB8" s="12"/>
      <c r="AC8" s="12"/>
      <c r="AD8" s="12"/>
      <c r="AE8" s="12"/>
      <c r="AF8" s="13"/>
      <c r="AG8" s="14"/>
      <c r="AH8" s="12"/>
      <c r="AI8" s="12"/>
      <c r="AJ8" s="12"/>
      <c r="AK8" s="12"/>
      <c r="AL8" s="12"/>
      <c r="AM8" s="13"/>
      <c r="AN8" s="14"/>
      <c r="AO8" s="12"/>
      <c r="AP8" s="12"/>
      <c r="AQ8" s="12"/>
      <c r="AR8" s="12"/>
      <c r="AS8" s="12"/>
      <c r="AT8" s="13"/>
      <c r="AU8" s="14"/>
      <c r="AV8" s="12"/>
      <c r="AW8" s="12"/>
      <c r="AX8" s="12"/>
      <c r="AY8" s="12"/>
      <c r="AZ8" s="12"/>
      <c r="BA8" s="13"/>
      <c r="BB8" s="14"/>
      <c r="BC8" s="12"/>
      <c r="BD8" s="12"/>
      <c r="BE8" s="12"/>
      <c r="BF8" s="12"/>
      <c r="BG8" s="12"/>
      <c r="BH8" s="13"/>
      <c r="BI8" s="14"/>
      <c r="BJ8" s="12"/>
      <c r="BK8" s="12"/>
      <c r="BL8" s="12"/>
      <c r="BM8" s="12"/>
      <c r="BN8" s="12"/>
      <c r="BO8" s="13"/>
      <c r="BP8" s="14"/>
      <c r="BQ8" s="12"/>
      <c r="BR8" s="12"/>
      <c r="BS8" s="12"/>
      <c r="BT8" s="12"/>
      <c r="BU8" s="12"/>
      <c r="BV8" s="13"/>
      <c r="BW8" s="14"/>
      <c r="BX8" s="12"/>
      <c r="BY8" s="12"/>
      <c r="BZ8" s="12"/>
      <c r="CA8" s="12"/>
      <c r="CB8" s="12"/>
      <c r="CC8" s="13"/>
      <c r="CD8" s="14"/>
      <c r="CE8" s="12"/>
      <c r="CF8" s="12"/>
      <c r="CG8" s="12"/>
      <c r="CH8" s="12"/>
      <c r="CI8" s="12"/>
      <c r="CJ8" s="13"/>
      <c r="CK8" s="14"/>
      <c r="CL8" s="12"/>
      <c r="CM8" s="12"/>
      <c r="CN8" s="12"/>
      <c r="CO8" s="12"/>
      <c r="CP8" s="12"/>
      <c r="CQ8" s="13"/>
      <c r="CR8" s="14"/>
      <c r="CS8" s="12"/>
      <c r="CT8" s="12"/>
      <c r="CU8" s="12"/>
      <c r="CV8" s="12"/>
      <c r="CW8" s="12"/>
      <c r="CX8" s="13"/>
      <c r="CY8" s="14"/>
      <c r="CZ8" s="12"/>
      <c r="DA8" s="12"/>
      <c r="DB8" s="12"/>
      <c r="DC8" s="12"/>
      <c r="DD8" s="12"/>
      <c r="DE8" s="13"/>
      <c r="DF8" s="14"/>
      <c r="DG8" s="12"/>
      <c r="DH8" s="12"/>
      <c r="DI8" s="12"/>
      <c r="DJ8" s="12"/>
      <c r="DK8" s="12"/>
      <c r="DL8" s="13"/>
      <c r="DM8" s="14"/>
      <c r="DN8" s="12"/>
      <c r="DO8" s="12"/>
      <c r="DP8" s="12"/>
      <c r="DQ8" s="12"/>
      <c r="DR8" s="12"/>
      <c r="DS8" s="13"/>
      <c r="DT8" s="14"/>
      <c r="DU8" s="12"/>
      <c r="DV8" s="12"/>
      <c r="DW8" s="12"/>
      <c r="DX8" s="12"/>
      <c r="DY8" s="12"/>
      <c r="DZ8" s="13"/>
      <c r="EA8" s="14"/>
      <c r="EB8" s="12"/>
      <c r="EC8" s="12"/>
      <c r="ED8" s="12"/>
      <c r="EE8" s="12"/>
      <c r="EF8" s="12"/>
      <c r="EG8" s="13"/>
      <c r="EH8" s="14"/>
      <c r="EI8" s="12"/>
      <c r="EJ8" s="12"/>
      <c r="EK8" s="12"/>
      <c r="EL8" s="12"/>
      <c r="EM8" s="12"/>
      <c r="EN8" s="13"/>
      <c r="EO8" s="14"/>
      <c r="EP8" s="12"/>
      <c r="EQ8" s="12"/>
      <c r="ER8" s="12"/>
      <c r="ES8" s="12"/>
      <c r="ET8" s="12"/>
      <c r="EU8" s="13"/>
      <c r="EV8" s="14"/>
      <c r="EW8" s="12"/>
      <c r="EX8" s="12"/>
      <c r="EY8" s="12"/>
      <c r="EZ8" s="12"/>
      <c r="FA8" s="12"/>
      <c r="FB8" s="12"/>
      <c r="FC8" s="13"/>
      <c r="FD8" s="14"/>
      <c r="FE8" s="12"/>
      <c r="FF8" s="12"/>
      <c r="FG8" s="12"/>
      <c r="FH8" s="12"/>
      <c r="FI8" s="12"/>
      <c r="FJ8" s="12"/>
      <c r="FK8" s="12"/>
      <c r="FL8" s="13"/>
      <c r="FM8" s="14"/>
      <c r="FN8" s="12"/>
      <c r="FO8" s="12"/>
      <c r="FP8" s="12"/>
      <c r="FQ8" s="12"/>
      <c r="FR8" s="12"/>
      <c r="FS8" s="12"/>
      <c r="FT8" s="12"/>
      <c r="FU8" s="13"/>
      <c r="FV8" s="14"/>
      <c r="FW8" s="12"/>
      <c r="FX8" s="12"/>
      <c r="FY8" s="12"/>
      <c r="FZ8" s="12"/>
      <c r="GA8" s="12"/>
      <c r="GB8" s="12"/>
      <c r="GC8" s="12"/>
      <c r="GD8" s="13"/>
      <c r="GE8" s="14"/>
      <c r="GF8" s="12"/>
      <c r="GG8" s="12"/>
      <c r="GH8" s="12"/>
      <c r="GI8" s="12"/>
      <c r="GJ8" s="12"/>
      <c r="GK8" s="12"/>
      <c r="GL8" s="12"/>
      <c r="GM8" s="13"/>
      <c r="GN8" s="14"/>
      <c r="GO8" s="12"/>
      <c r="GP8" s="12"/>
      <c r="GQ8" s="12"/>
      <c r="GR8" s="12"/>
      <c r="GS8" s="12"/>
      <c r="GT8" s="12"/>
      <c r="GU8" s="12"/>
      <c r="GV8" s="13"/>
      <c r="GW8" s="14"/>
      <c r="GX8" s="12"/>
      <c r="GY8" s="12"/>
      <c r="GZ8" s="12"/>
      <c r="HA8" s="12"/>
      <c r="HB8" s="12"/>
      <c r="HC8" s="12"/>
      <c r="HD8" s="12"/>
      <c r="HE8" s="13"/>
      <c r="HF8" s="14"/>
      <c r="HG8" s="12"/>
      <c r="HH8" s="12"/>
      <c r="HI8" s="12"/>
      <c r="HJ8" s="12"/>
      <c r="HK8" s="12"/>
      <c r="HL8" s="12"/>
      <c r="HM8" s="12"/>
      <c r="HN8" s="13"/>
      <c r="HO8" s="14"/>
      <c r="HP8" s="12"/>
      <c r="HQ8" s="12"/>
      <c r="HR8" s="12"/>
      <c r="HS8" s="12"/>
      <c r="HT8" s="12"/>
      <c r="HU8" s="12"/>
      <c r="HV8" s="12"/>
      <c r="HW8" s="13"/>
      <c r="HX8" s="14"/>
      <c r="HY8" s="12"/>
      <c r="HZ8" s="12"/>
      <c r="IA8" s="12"/>
      <c r="IB8" s="12"/>
      <c r="IC8" s="12"/>
      <c r="ID8" s="12"/>
      <c r="IE8" s="12"/>
      <c r="IF8" s="13"/>
      <c r="IG8" s="14"/>
      <c r="IL8" s="32"/>
      <c r="IM8" s="32"/>
      <c r="IN8" s="32"/>
      <c r="IP8" s="12"/>
      <c r="IQ8" s="12"/>
      <c r="IR8" s="12"/>
    </row>
    <row r="9" spans="2:252" ht="12">
      <c r="B9" s="6" t="s">
        <v>3</v>
      </c>
      <c r="C9" s="6" t="s">
        <v>4</v>
      </c>
      <c r="D9" s="6" t="s">
        <v>5</v>
      </c>
      <c r="E9" s="15"/>
      <c r="F9" s="6" t="s">
        <v>3</v>
      </c>
      <c r="G9" s="6" t="s">
        <v>4</v>
      </c>
      <c r="H9" s="6" t="s">
        <v>5</v>
      </c>
      <c r="I9" s="6" t="s">
        <v>6</v>
      </c>
      <c r="J9" s="6" t="s">
        <v>6</v>
      </c>
      <c r="K9" s="6" t="s">
        <v>6</v>
      </c>
      <c r="L9" s="15"/>
      <c r="M9" s="6" t="s">
        <v>3</v>
      </c>
      <c r="N9" s="6" t="s">
        <v>4</v>
      </c>
      <c r="O9" s="6" t="s">
        <v>5</v>
      </c>
      <c r="P9" s="6" t="s">
        <v>6</v>
      </c>
      <c r="Q9" s="6" t="s">
        <v>6</v>
      </c>
      <c r="R9" s="6" t="s">
        <v>6</v>
      </c>
      <c r="S9" s="15"/>
      <c r="T9" s="6" t="s">
        <v>3</v>
      </c>
      <c r="U9" s="6" t="s">
        <v>4</v>
      </c>
      <c r="V9" s="6" t="s">
        <v>5</v>
      </c>
      <c r="W9" s="6" t="s">
        <v>6</v>
      </c>
      <c r="X9" s="6" t="s">
        <v>6</v>
      </c>
      <c r="Y9" s="6" t="s">
        <v>6</v>
      </c>
      <c r="Z9" s="15"/>
      <c r="AA9" s="6" t="s">
        <v>3</v>
      </c>
      <c r="AB9" s="6" t="s">
        <v>4</v>
      </c>
      <c r="AC9" s="6" t="s">
        <v>5</v>
      </c>
      <c r="AD9" s="6" t="s">
        <v>6</v>
      </c>
      <c r="AE9" s="6" t="s">
        <v>6</v>
      </c>
      <c r="AF9" s="6" t="s">
        <v>6</v>
      </c>
      <c r="AG9" s="15"/>
      <c r="AH9" s="6" t="s">
        <v>3</v>
      </c>
      <c r="AI9" s="6" t="s">
        <v>4</v>
      </c>
      <c r="AJ9" s="6" t="s">
        <v>5</v>
      </c>
      <c r="AK9" s="6" t="s">
        <v>6</v>
      </c>
      <c r="AL9" s="6" t="s">
        <v>6</v>
      </c>
      <c r="AM9" s="6" t="s">
        <v>6</v>
      </c>
      <c r="AN9" s="15"/>
      <c r="AO9" s="6" t="s">
        <v>3</v>
      </c>
      <c r="AP9" s="6" t="s">
        <v>4</v>
      </c>
      <c r="AQ9" s="6" t="s">
        <v>5</v>
      </c>
      <c r="AR9" s="6" t="s">
        <v>6</v>
      </c>
      <c r="AS9" s="6" t="s">
        <v>6</v>
      </c>
      <c r="AT9" s="6" t="s">
        <v>6</v>
      </c>
      <c r="AU9" s="15"/>
      <c r="AV9" s="6" t="s">
        <v>3</v>
      </c>
      <c r="AW9" s="6" t="s">
        <v>4</v>
      </c>
      <c r="AX9" s="6" t="s">
        <v>5</v>
      </c>
      <c r="AY9" s="6" t="s">
        <v>6</v>
      </c>
      <c r="AZ9" s="6" t="s">
        <v>6</v>
      </c>
      <c r="BA9" s="6" t="s">
        <v>6</v>
      </c>
      <c r="BB9" s="15"/>
      <c r="BC9" s="6" t="s">
        <v>3</v>
      </c>
      <c r="BD9" s="6" t="s">
        <v>4</v>
      </c>
      <c r="BE9" s="6" t="s">
        <v>5</v>
      </c>
      <c r="BF9" s="6" t="s">
        <v>6</v>
      </c>
      <c r="BG9" s="6" t="s">
        <v>6</v>
      </c>
      <c r="BH9" s="6" t="s">
        <v>6</v>
      </c>
      <c r="BI9" s="15"/>
      <c r="BJ9" s="6" t="s">
        <v>3</v>
      </c>
      <c r="BK9" s="6" t="s">
        <v>4</v>
      </c>
      <c r="BL9" s="6" t="s">
        <v>5</v>
      </c>
      <c r="BM9" s="6" t="s">
        <v>6</v>
      </c>
      <c r="BN9" s="6" t="s">
        <v>6</v>
      </c>
      <c r="BO9" s="6" t="s">
        <v>6</v>
      </c>
      <c r="BP9" s="15"/>
      <c r="BQ9" s="6" t="s">
        <v>3</v>
      </c>
      <c r="BR9" s="6" t="s">
        <v>4</v>
      </c>
      <c r="BS9" s="6" t="s">
        <v>5</v>
      </c>
      <c r="BT9" s="6" t="s">
        <v>6</v>
      </c>
      <c r="BU9" s="6" t="s">
        <v>6</v>
      </c>
      <c r="BV9" s="6" t="s">
        <v>6</v>
      </c>
      <c r="BW9" s="15"/>
      <c r="BX9" s="6" t="s">
        <v>3</v>
      </c>
      <c r="BY9" s="6" t="s">
        <v>4</v>
      </c>
      <c r="BZ9" s="6" t="s">
        <v>5</v>
      </c>
      <c r="CA9" s="6" t="s">
        <v>6</v>
      </c>
      <c r="CB9" s="6" t="s">
        <v>6</v>
      </c>
      <c r="CC9" s="6" t="s">
        <v>6</v>
      </c>
      <c r="CD9" s="15"/>
      <c r="CE9" s="6" t="s">
        <v>3</v>
      </c>
      <c r="CF9" s="6" t="s">
        <v>4</v>
      </c>
      <c r="CG9" s="6" t="s">
        <v>5</v>
      </c>
      <c r="CH9" s="6" t="s">
        <v>6</v>
      </c>
      <c r="CI9" s="6" t="s">
        <v>6</v>
      </c>
      <c r="CJ9" s="6" t="s">
        <v>6</v>
      </c>
      <c r="CK9" s="6"/>
      <c r="CL9" s="6" t="s">
        <v>3</v>
      </c>
      <c r="CM9" s="6" t="s">
        <v>4</v>
      </c>
      <c r="CN9" s="6" t="s">
        <v>5</v>
      </c>
      <c r="CO9" s="6" t="s">
        <v>6</v>
      </c>
      <c r="CP9" s="6" t="s">
        <v>6</v>
      </c>
      <c r="CQ9" s="6" t="s">
        <v>6</v>
      </c>
      <c r="CR9" s="6"/>
      <c r="CS9" s="6" t="s">
        <v>3</v>
      </c>
      <c r="CT9" s="6" t="s">
        <v>4</v>
      </c>
      <c r="CU9" s="6" t="s">
        <v>5</v>
      </c>
      <c r="CV9" s="6" t="s">
        <v>6</v>
      </c>
      <c r="CW9" s="6" t="s">
        <v>6</v>
      </c>
      <c r="CX9" s="6" t="s">
        <v>6</v>
      </c>
      <c r="CY9" s="6"/>
      <c r="CZ9" s="6" t="s">
        <v>3</v>
      </c>
      <c r="DA9" s="6" t="s">
        <v>4</v>
      </c>
      <c r="DB9" s="6" t="s">
        <v>5</v>
      </c>
      <c r="DC9" s="6" t="s">
        <v>6</v>
      </c>
      <c r="DD9" s="6" t="s">
        <v>6</v>
      </c>
      <c r="DE9" s="6" t="s">
        <v>6</v>
      </c>
      <c r="DF9" s="6"/>
      <c r="DG9" s="6" t="s">
        <v>3</v>
      </c>
      <c r="DH9" s="6" t="s">
        <v>4</v>
      </c>
      <c r="DI9" s="6" t="s">
        <v>5</v>
      </c>
      <c r="DJ9" s="6" t="s">
        <v>6</v>
      </c>
      <c r="DK9" s="6" t="s">
        <v>6</v>
      </c>
      <c r="DL9" s="6" t="s">
        <v>6</v>
      </c>
      <c r="DM9" s="6"/>
      <c r="DN9" s="6" t="s">
        <v>3</v>
      </c>
      <c r="DO9" s="6" t="s">
        <v>4</v>
      </c>
      <c r="DP9" s="6" t="s">
        <v>5</v>
      </c>
      <c r="DQ9" s="6" t="s">
        <v>6</v>
      </c>
      <c r="DR9" s="6" t="s">
        <v>6</v>
      </c>
      <c r="DS9" s="6" t="s">
        <v>6</v>
      </c>
      <c r="DT9" s="6"/>
      <c r="DU9" s="6" t="s">
        <v>3</v>
      </c>
      <c r="DV9" s="6" t="s">
        <v>4</v>
      </c>
      <c r="DW9" s="6" t="s">
        <v>5</v>
      </c>
      <c r="DX9" s="6" t="s">
        <v>6</v>
      </c>
      <c r="DY9" s="6" t="s">
        <v>6</v>
      </c>
      <c r="DZ9" s="6" t="s">
        <v>6</v>
      </c>
      <c r="EA9" s="6"/>
      <c r="EB9" s="6" t="s">
        <v>3</v>
      </c>
      <c r="EC9" s="6" t="s">
        <v>4</v>
      </c>
      <c r="ED9" s="6" t="s">
        <v>5</v>
      </c>
      <c r="EE9" s="6" t="s">
        <v>6</v>
      </c>
      <c r="EF9" s="6" t="s">
        <v>6</v>
      </c>
      <c r="EG9" s="6" t="s">
        <v>6</v>
      </c>
      <c r="EH9" s="6"/>
      <c r="EI9" s="6" t="s">
        <v>3</v>
      </c>
      <c r="EJ9" s="6" t="s">
        <v>4</v>
      </c>
      <c r="EK9" s="6" t="s">
        <v>5</v>
      </c>
      <c r="EL9" s="6" t="s">
        <v>6</v>
      </c>
      <c r="EM9" s="6" t="s">
        <v>6</v>
      </c>
      <c r="EN9" s="6" t="s">
        <v>6</v>
      </c>
      <c r="EO9" s="6"/>
      <c r="EP9" s="6" t="s">
        <v>3</v>
      </c>
      <c r="EQ9" s="6" t="s">
        <v>4</v>
      </c>
      <c r="ER9" s="6" t="s">
        <v>5</v>
      </c>
      <c r="ES9" s="6" t="s">
        <v>6</v>
      </c>
      <c r="ET9" s="6" t="s">
        <v>6</v>
      </c>
      <c r="EU9" s="6" t="s">
        <v>6</v>
      </c>
      <c r="EV9" s="6"/>
      <c r="EW9" s="6" t="s">
        <v>3</v>
      </c>
      <c r="EX9" s="6" t="s">
        <v>4</v>
      </c>
      <c r="EY9" s="6" t="s">
        <v>134</v>
      </c>
      <c r="EZ9" s="6" t="s">
        <v>5</v>
      </c>
      <c r="FA9" s="6" t="s">
        <v>6</v>
      </c>
      <c r="FB9" s="6" t="s">
        <v>6</v>
      </c>
      <c r="FC9" s="6" t="s">
        <v>6</v>
      </c>
      <c r="FD9" s="6"/>
      <c r="FE9" s="6" t="s">
        <v>3</v>
      </c>
      <c r="FF9" s="6" t="s">
        <v>4</v>
      </c>
      <c r="FG9" s="6" t="s">
        <v>134</v>
      </c>
      <c r="FH9" s="6" t="s">
        <v>5</v>
      </c>
      <c r="FI9" s="6" t="s">
        <v>6</v>
      </c>
      <c r="FJ9" s="6" t="s">
        <v>6</v>
      </c>
      <c r="FK9" s="6" t="s">
        <v>134</v>
      </c>
      <c r="FL9" s="6" t="s">
        <v>6</v>
      </c>
      <c r="FM9" s="15"/>
      <c r="FN9" s="6" t="s">
        <v>3</v>
      </c>
      <c r="FO9" s="6" t="s">
        <v>4</v>
      </c>
      <c r="FP9" s="6" t="s">
        <v>134</v>
      </c>
      <c r="FQ9" s="6" t="s">
        <v>5</v>
      </c>
      <c r="FR9" s="6" t="s">
        <v>6</v>
      </c>
      <c r="FS9" s="6" t="s">
        <v>6</v>
      </c>
      <c r="FT9" s="6" t="s">
        <v>6</v>
      </c>
      <c r="FU9" s="6" t="s">
        <v>6</v>
      </c>
      <c r="FV9" s="15"/>
      <c r="FW9" s="6" t="s">
        <v>3</v>
      </c>
      <c r="FX9" s="6" t="s">
        <v>4</v>
      </c>
      <c r="FY9" s="6" t="s">
        <v>134</v>
      </c>
      <c r="FZ9" s="6" t="s">
        <v>5</v>
      </c>
      <c r="GA9" s="6" t="s">
        <v>6</v>
      </c>
      <c r="GB9" s="6" t="s">
        <v>6</v>
      </c>
      <c r="GC9" s="6" t="s">
        <v>6</v>
      </c>
      <c r="GD9" s="6" t="s">
        <v>6</v>
      </c>
      <c r="GE9" s="15"/>
      <c r="GF9" s="6" t="s">
        <v>3</v>
      </c>
      <c r="GG9" s="6" t="s">
        <v>4</v>
      </c>
      <c r="GH9" s="6" t="s">
        <v>134</v>
      </c>
      <c r="GI9" s="6" t="s">
        <v>5</v>
      </c>
      <c r="GJ9" s="6" t="s">
        <v>6</v>
      </c>
      <c r="GK9" s="6" t="s">
        <v>6</v>
      </c>
      <c r="GL9" s="6" t="s">
        <v>6</v>
      </c>
      <c r="GM9" s="6" t="s">
        <v>6</v>
      </c>
      <c r="GN9" s="15"/>
      <c r="GO9" s="6" t="s">
        <v>3</v>
      </c>
      <c r="GP9" s="6" t="s">
        <v>4</v>
      </c>
      <c r="GQ9" s="6" t="s">
        <v>134</v>
      </c>
      <c r="GR9" s="6" t="s">
        <v>5</v>
      </c>
      <c r="GS9" s="6" t="s">
        <v>6</v>
      </c>
      <c r="GT9" s="6" t="s">
        <v>6</v>
      </c>
      <c r="GU9" s="6" t="s">
        <v>6</v>
      </c>
      <c r="GV9" s="6" t="s">
        <v>6</v>
      </c>
      <c r="GW9" s="15"/>
      <c r="GX9" s="6" t="s">
        <v>3</v>
      </c>
      <c r="GY9" s="6" t="s">
        <v>4</v>
      </c>
      <c r="GZ9" s="6" t="s">
        <v>134</v>
      </c>
      <c r="HA9" s="6" t="s">
        <v>5</v>
      </c>
      <c r="HB9" s="6" t="s">
        <v>6</v>
      </c>
      <c r="HC9" s="6" t="s">
        <v>6</v>
      </c>
      <c r="HD9" s="6" t="s">
        <v>6</v>
      </c>
      <c r="HE9" s="6" t="s">
        <v>6</v>
      </c>
      <c r="HF9" s="15"/>
      <c r="HG9" s="6" t="s">
        <v>3</v>
      </c>
      <c r="HH9" s="6" t="s">
        <v>4</v>
      </c>
      <c r="HI9" s="6" t="s">
        <v>134</v>
      </c>
      <c r="HJ9" s="6" t="s">
        <v>5</v>
      </c>
      <c r="HK9" s="6" t="s">
        <v>6</v>
      </c>
      <c r="HL9" s="6" t="s">
        <v>6</v>
      </c>
      <c r="HM9" s="6" t="s">
        <v>6</v>
      </c>
      <c r="HN9" s="6" t="s">
        <v>6</v>
      </c>
      <c r="HO9" s="15"/>
      <c r="HP9" s="6" t="s">
        <v>3</v>
      </c>
      <c r="HQ9" s="6" t="s">
        <v>4</v>
      </c>
      <c r="HR9" s="6" t="s">
        <v>134</v>
      </c>
      <c r="HS9" s="6" t="s">
        <v>5</v>
      </c>
      <c r="HT9" s="6" t="s">
        <v>6</v>
      </c>
      <c r="HU9" s="6" t="s">
        <v>6</v>
      </c>
      <c r="HV9" s="6" t="s">
        <v>6</v>
      </c>
      <c r="HW9" s="6" t="s">
        <v>6</v>
      </c>
      <c r="HX9" s="15"/>
      <c r="HY9" s="6" t="s">
        <v>3</v>
      </c>
      <c r="HZ9" s="6" t="s">
        <v>4</v>
      </c>
      <c r="IA9" s="6" t="s">
        <v>134</v>
      </c>
      <c r="IB9" s="6" t="s">
        <v>5</v>
      </c>
      <c r="IC9" s="6" t="s">
        <v>6</v>
      </c>
      <c r="ID9" s="6" t="s">
        <v>6</v>
      </c>
      <c r="IE9" s="6" t="s">
        <v>6</v>
      </c>
      <c r="IF9" s="6" t="s">
        <v>6</v>
      </c>
      <c r="IG9" s="6"/>
      <c r="II9" s="6" t="s">
        <v>3</v>
      </c>
      <c r="IJ9" s="6" t="s">
        <v>4</v>
      </c>
      <c r="IK9" s="6" t="s">
        <v>5</v>
      </c>
      <c r="IL9" s="6" t="s">
        <v>6</v>
      </c>
      <c r="IM9" s="6" t="s">
        <v>6</v>
      </c>
      <c r="IN9" s="6" t="s">
        <v>6</v>
      </c>
      <c r="IP9" s="6" t="s">
        <v>3</v>
      </c>
      <c r="IQ9" s="6" t="s">
        <v>134</v>
      </c>
      <c r="IR9" s="6" t="s">
        <v>5</v>
      </c>
    </row>
    <row r="10" spans="1:250" ht="12">
      <c r="A10" s="6" t="s">
        <v>7</v>
      </c>
      <c r="B10" s="6" t="s">
        <v>8</v>
      </c>
      <c r="E10" s="17"/>
      <c r="F10" s="6" t="s">
        <v>8</v>
      </c>
      <c r="I10" s="6" t="s">
        <v>9</v>
      </c>
      <c r="J10" s="6" t="s">
        <v>10</v>
      </c>
      <c r="K10" s="6" t="s">
        <v>11</v>
      </c>
      <c r="L10" s="15"/>
      <c r="M10" s="6" t="s">
        <v>8</v>
      </c>
      <c r="P10" s="6" t="s">
        <v>9</v>
      </c>
      <c r="Q10" s="6" t="s">
        <v>10</v>
      </c>
      <c r="R10" s="6" t="s">
        <v>11</v>
      </c>
      <c r="S10" s="15"/>
      <c r="T10" s="6" t="s">
        <v>8</v>
      </c>
      <c r="W10" s="6" t="s">
        <v>9</v>
      </c>
      <c r="X10" s="6" t="s">
        <v>10</v>
      </c>
      <c r="Y10" s="6" t="s">
        <v>11</v>
      </c>
      <c r="Z10" s="15"/>
      <c r="AA10" s="6" t="s">
        <v>8</v>
      </c>
      <c r="AD10" s="6" t="s">
        <v>9</v>
      </c>
      <c r="AE10" s="6" t="s">
        <v>10</v>
      </c>
      <c r="AF10" s="6" t="s">
        <v>11</v>
      </c>
      <c r="AG10" s="15"/>
      <c r="AH10" s="6" t="s">
        <v>8</v>
      </c>
      <c r="AK10" s="6" t="s">
        <v>9</v>
      </c>
      <c r="AL10" s="6" t="s">
        <v>10</v>
      </c>
      <c r="AM10" s="6" t="s">
        <v>11</v>
      </c>
      <c r="AN10" s="15"/>
      <c r="AO10" s="6" t="s">
        <v>8</v>
      </c>
      <c r="AR10" s="6" t="s">
        <v>9</v>
      </c>
      <c r="AS10" s="6" t="s">
        <v>10</v>
      </c>
      <c r="AT10" s="6" t="s">
        <v>11</v>
      </c>
      <c r="AU10" s="6"/>
      <c r="AV10" s="6" t="s">
        <v>8</v>
      </c>
      <c r="AY10" s="6" t="s">
        <v>9</v>
      </c>
      <c r="AZ10" s="6" t="s">
        <v>10</v>
      </c>
      <c r="BA10" s="6" t="s">
        <v>11</v>
      </c>
      <c r="BB10" s="15"/>
      <c r="BC10" s="6" t="s">
        <v>8</v>
      </c>
      <c r="BF10" s="6" t="s">
        <v>9</v>
      </c>
      <c r="BG10" s="6" t="s">
        <v>10</v>
      </c>
      <c r="BH10" s="6" t="s">
        <v>11</v>
      </c>
      <c r="BI10" s="6"/>
      <c r="BJ10" s="6" t="s">
        <v>8</v>
      </c>
      <c r="BM10" s="6" t="s">
        <v>9</v>
      </c>
      <c r="BN10" s="6" t="s">
        <v>10</v>
      </c>
      <c r="BO10" s="6" t="s">
        <v>11</v>
      </c>
      <c r="BP10" s="15"/>
      <c r="BQ10" s="6" t="s">
        <v>8</v>
      </c>
      <c r="BT10" s="6" t="s">
        <v>9</v>
      </c>
      <c r="BU10" s="6" t="s">
        <v>10</v>
      </c>
      <c r="BV10" s="6" t="s">
        <v>11</v>
      </c>
      <c r="BW10" s="15"/>
      <c r="BX10" s="6" t="s">
        <v>8</v>
      </c>
      <c r="CA10" s="6" t="s">
        <v>9</v>
      </c>
      <c r="CB10" s="6" t="s">
        <v>10</v>
      </c>
      <c r="CC10" s="6" t="s">
        <v>11</v>
      </c>
      <c r="CD10" s="15"/>
      <c r="CE10" s="6" t="s">
        <v>8</v>
      </c>
      <c r="CH10" s="6" t="s">
        <v>9</v>
      </c>
      <c r="CI10" s="6" t="s">
        <v>10</v>
      </c>
      <c r="CJ10" s="6" t="s">
        <v>11</v>
      </c>
      <c r="CK10" s="6"/>
      <c r="CL10" s="6" t="s">
        <v>8</v>
      </c>
      <c r="CO10" s="6" t="s">
        <v>9</v>
      </c>
      <c r="CP10" s="6" t="s">
        <v>10</v>
      </c>
      <c r="CQ10" s="6" t="s">
        <v>11</v>
      </c>
      <c r="CR10" s="6"/>
      <c r="CS10" s="6" t="s">
        <v>8</v>
      </c>
      <c r="CV10" s="6" t="s">
        <v>9</v>
      </c>
      <c r="CW10" s="6" t="s">
        <v>10</v>
      </c>
      <c r="CX10" s="6" t="s">
        <v>11</v>
      </c>
      <c r="CY10" s="6"/>
      <c r="CZ10" s="6" t="s">
        <v>8</v>
      </c>
      <c r="DC10" s="6" t="s">
        <v>9</v>
      </c>
      <c r="DD10" s="6" t="s">
        <v>10</v>
      </c>
      <c r="DE10" s="6" t="s">
        <v>11</v>
      </c>
      <c r="DF10" s="6"/>
      <c r="DG10" s="6" t="s">
        <v>8</v>
      </c>
      <c r="DJ10" s="6" t="s">
        <v>9</v>
      </c>
      <c r="DK10" s="6" t="s">
        <v>10</v>
      </c>
      <c r="DL10" s="6" t="s">
        <v>11</v>
      </c>
      <c r="DM10" s="6"/>
      <c r="DN10" s="6" t="s">
        <v>8</v>
      </c>
      <c r="DQ10" s="6" t="s">
        <v>9</v>
      </c>
      <c r="DR10" s="6" t="s">
        <v>10</v>
      </c>
      <c r="DS10" s="6" t="s">
        <v>11</v>
      </c>
      <c r="DT10" s="6"/>
      <c r="DU10" s="6" t="s">
        <v>8</v>
      </c>
      <c r="DX10" s="6" t="s">
        <v>9</v>
      </c>
      <c r="DY10" s="6" t="s">
        <v>10</v>
      </c>
      <c r="DZ10" s="6" t="s">
        <v>11</v>
      </c>
      <c r="EA10" s="6"/>
      <c r="EB10" s="6" t="s">
        <v>8</v>
      </c>
      <c r="EE10" s="6" t="s">
        <v>9</v>
      </c>
      <c r="EF10" s="6" t="s">
        <v>10</v>
      </c>
      <c r="EG10" s="6" t="s">
        <v>11</v>
      </c>
      <c r="EH10" s="6"/>
      <c r="EI10" s="6" t="s">
        <v>8</v>
      </c>
      <c r="EL10" s="6" t="s">
        <v>9</v>
      </c>
      <c r="EM10" s="6" t="s">
        <v>10</v>
      </c>
      <c r="EN10" s="6" t="s">
        <v>11</v>
      </c>
      <c r="EO10" s="6"/>
      <c r="EP10" s="6" t="s">
        <v>8</v>
      </c>
      <c r="ES10" s="6" t="s">
        <v>9</v>
      </c>
      <c r="ET10" s="6" t="s">
        <v>10</v>
      </c>
      <c r="EU10" s="6" t="s">
        <v>11</v>
      </c>
      <c r="EV10" s="6"/>
      <c r="EW10" s="6" t="s">
        <v>8</v>
      </c>
      <c r="FA10" s="6" t="s">
        <v>9</v>
      </c>
      <c r="FB10" s="6" t="s">
        <v>10</v>
      </c>
      <c r="FC10" s="6" t="s">
        <v>11</v>
      </c>
      <c r="FD10" s="6"/>
      <c r="FE10" s="6" t="s">
        <v>8</v>
      </c>
      <c r="FI10" s="6" t="s">
        <v>9</v>
      </c>
      <c r="FJ10" s="6" t="s">
        <v>10</v>
      </c>
      <c r="FK10" s="6"/>
      <c r="FL10" s="6" t="s">
        <v>11</v>
      </c>
      <c r="FM10" s="6"/>
      <c r="FN10" s="6" t="s">
        <v>8</v>
      </c>
      <c r="FR10" s="6" t="s">
        <v>9</v>
      </c>
      <c r="FS10" s="6" t="s">
        <v>10</v>
      </c>
      <c r="FT10" s="6" t="s">
        <v>135</v>
      </c>
      <c r="FU10" s="6" t="s">
        <v>11</v>
      </c>
      <c r="FV10" s="6"/>
      <c r="FW10" s="6" t="s">
        <v>8</v>
      </c>
      <c r="GA10" s="6" t="s">
        <v>9</v>
      </c>
      <c r="GB10" s="6" t="s">
        <v>10</v>
      </c>
      <c r="GC10" s="6" t="s">
        <v>135</v>
      </c>
      <c r="GD10" s="6" t="s">
        <v>11</v>
      </c>
      <c r="GE10" s="6"/>
      <c r="GF10" s="6" t="s">
        <v>8</v>
      </c>
      <c r="GJ10" s="6" t="s">
        <v>9</v>
      </c>
      <c r="GK10" s="6" t="s">
        <v>10</v>
      </c>
      <c r="GL10" s="6" t="s">
        <v>135</v>
      </c>
      <c r="GM10" s="6" t="s">
        <v>11</v>
      </c>
      <c r="GN10" s="6"/>
      <c r="GO10" s="6" t="s">
        <v>8</v>
      </c>
      <c r="GS10" s="6" t="s">
        <v>9</v>
      </c>
      <c r="GT10" s="6" t="s">
        <v>10</v>
      </c>
      <c r="GU10" s="6" t="s">
        <v>135</v>
      </c>
      <c r="GV10" s="6" t="s">
        <v>11</v>
      </c>
      <c r="GW10" s="6"/>
      <c r="GX10" s="6" t="s">
        <v>8</v>
      </c>
      <c r="HB10" s="6" t="s">
        <v>9</v>
      </c>
      <c r="HC10" s="6" t="s">
        <v>10</v>
      </c>
      <c r="HD10" s="6" t="s">
        <v>135</v>
      </c>
      <c r="HE10" s="6" t="s">
        <v>11</v>
      </c>
      <c r="HF10" s="6"/>
      <c r="HG10" s="6" t="s">
        <v>8</v>
      </c>
      <c r="HK10" s="6" t="s">
        <v>9</v>
      </c>
      <c r="HL10" s="6" t="s">
        <v>10</v>
      </c>
      <c r="HM10" s="6" t="s">
        <v>135</v>
      </c>
      <c r="HN10" s="6" t="s">
        <v>11</v>
      </c>
      <c r="HO10" s="6"/>
      <c r="HP10" s="6" t="s">
        <v>8</v>
      </c>
      <c r="HT10" s="6" t="s">
        <v>9</v>
      </c>
      <c r="HU10" s="6" t="s">
        <v>10</v>
      </c>
      <c r="HV10" s="6" t="s">
        <v>135</v>
      </c>
      <c r="HW10" s="6" t="s">
        <v>11</v>
      </c>
      <c r="HX10" s="6"/>
      <c r="HY10" s="6" t="s">
        <v>8</v>
      </c>
      <c r="IC10" s="6" t="s">
        <v>9</v>
      </c>
      <c r="ID10" s="6" t="s">
        <v>10</v>
      </c>
      <c r="IE10" s="6" t="s">
        <v>135</v>
      </c>
      <c r="IF10" s="6" t="s">
        <v>11</v>
      </c>
      <c r="IG10" s="6"/>
      <c r="IH10" s="6" t="s">
        <v>7</v>
      </c>
      <c r="II10" s="6" t="s">
        <v>8</v>
      </c>
      <c r="IL10" s="6" t="s">
        <v>9</v>
      </c>
      <c r="IM10" s="6" t="s">
        <v>10</v>
      </c>
      <c r="IN10" s="6" t="s">
        <v>11</v>
      </c>
      <c r="IP10" s="6" t="s">
        <v>8</v>
      </c>
    </row>
    <row r="11" spans="1:252" ht="12.7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18"/>
      <c r="IH11" s="28"/>
      <c r="II11" s="28"/>
      <c r="IJ11" s="28"/>
      <c r="IK11" s="28"/>
      <c r="IL11" s="28"/>
      <c r="IM11" s="28"/>
      <c r="IN11" s="28"/>
      <c r="IP11" s="7"/>
      <c r="IQ11" s="7"/>
      <c r="IR11" s="7"/>
    </row>
    <row r="12" spans="1:252" ht="12">
      <c r="A12" s="1" t="s">
        <v>12</v>
      </c>
      <c r="B12" s="20">
        <v>249750</v>
      </c>
      <c r="C12" s="10">
        <v>48.6</v>
      </c>
      <c r="D12" s="11">
        <v>12005600</v>
      </c>
      <c r="E12" s="9"/>
      <c r="F12" s="20">
        <v>236000</v>
      </c>
      <c r="G12" s="10">
        <f>H12/F12</f>
        <v>48.29449152542373</v>
      </c>
      <c r="H12" s="11">
        <v>11397500</v>
      </c>
      <c r="I12" s="23">
        <f aca="true" t="shared" si="0" ref="I12:K17">F12*100/B12-100</f>
        <v>-5.505505505505511</v>
      </c>
      <c r="J12" s="23">
        <f t="shared" si="0"/>
        <v>-0.628618260445009</v>
      </c>
      <c r="K12" s="23">
        <f t="shared" si="0"/>
        <v>-5.0651362697407905</v>
      </c>
      <c r="L12" s="8"/>
      <c r="M12" s="20">
        <v>217450</v>
      </c>
      <c r="N12" s="10">
        <f aca="true" t="shared" si="1" ref="N12:N17">O12/M12</f>
        <v>57.27109680386296</v>
      </c>
      <c r="O12" s="11">
        <v>12453600</v>
      </c>
      <c r="P12" s="23">
        <f aca="true" t="shared" si="2" ref="P12:R17">M12*100/F12-100</f>
        <v>-7.860169491525426</v>
      </c>
      <c r="Q12" s="23">
        <f t="shared" si="2"/>
        <v>18.587223914995903</v>
      </c>
      <c r="R12" s="23">
        <f t="shared" si="2"/>
        <v>9.266067119982452</v>
      </c>
      <c r="S12" s="8"/>
      <c r="T12" s="20">
        <v>218650</v>
      </c>
      <c r="U12" s="10">
        <v>49.6</v>
      </c>
      <c r="V12" s="11">
        <v>10682100</v>
      </c>
      <c r="W12" s="23">
        <f aca="true" t="shared" si="3" ref="W12:Y17">T12*100/M12-100</f>
        <v>0.5518510002299308</v>
      </c>
      <c r="X12" s="23">
        <f t="shared" si="3"/>
        <v>-13.394359863814486</v>
      </c>
      <c r="Y12" s="23">
        <f t="shared" si="3"/>
        <v>-14.2248024667566</v>
      </c>
      <c r="Z12" s="8"/>
      <c r="AA12" s="20">
        <v>224100</v>
      </c>
      <c r="AB12" s="10">
        <f>10130450/AA12</f>
        <v>45.20504239178938</v>
      </c>
      <c r="AC12" s="11">
        <v>10049000</v>
      </c>
      <c r="AD12" s="23">
        <f aca="true" t="shared" si="4" ref="AD12:AF17">AA12*100/T12-100</f>
        <v>2.4925680310999354</v>
      </c>
      <c r="AE12" s="23">
        <f t="shared" si="4"/>
        <v>-8.860801629456901</v>
      </c>
      <c r="AF12" s="23">
        <f t="shared" si="4"/>
        <v>-5.92673725203845</v>
      </c>
      <c r="AG12" s="8"/>
      <c r="AH12" s="20">
        <v>212800</v>
      </c>
      <c r="AI12" s="10">
        <v>54.7</v>
      </c>
      <c r="AJ12" s="11">
        <v>11594500</v>
      </c>
      <c r="AK12" s="23">
        <f aca="true" t="shared" si="5" ref="AK12:AM17">AH12*100/AA12-100</f>
        <v>-5.042391789379735</v>
      </c>
      <c r="AL12" s="23">
        <f t="shared" si="5"/>
        <v>21.004200208282953</v>
      </c>
      <c r="AM12" s="23">
        <f t="shared" si="5"/>
        <v>15.379639765150756</v>
      </c>
      <c r="AN12" s="8"/>
      <c r="AO12" s="20">
        <v>199300</v>
      </c>
      <c r="AP12" s="10">
        <v>54.2</v>
      </c>
      <c r="AQ12" s="11">
        <v>10812500</v>
      </c>
      <c r="AR12" s="23">
        <f aca="true" t="shared" si="6" ref="AR12:AT17">AO12*100/AH12-100</f>
        <v>-6.343984962406012</v>
      </c>
      <c r="AS12" s="23">
        <f t="shared" si="6"/>
        <v>-0.914076782449726</v>
      </c>
      <c r="AT12" s="23">
        <f t="shared" si="6"/>
        <v>-6.7445771702100075</v>
      </c>
      <c r="AU12" s="8"/>
      <c r="AV12" s="20">
        <v>217400</v>
      </c>
      <c r="AW12" s="10">
        <v>59.1</v>
      </c>
      <c r="AX12" s="11">
        <v>12849000</v>
      </c>
      <c r="AY12" s="23">
        <f aca="true" t="shared" si="7" ref="AY12:BA17">AV12*100/AO12-100</f>
        <v>9.081786251881582</v>
      </c>
      <c r="AZ12" s="23">
        <f t="shared" si="7"/>
        <v>9.040590405904055</v>
      </c>
      <c r="BA12" s="23">
        <f t="shared" si="7"/>
        <v>18.83468208092485</v>
      </c>
      <c r="BB12" s="8"/>
      <c r="BC12" s="20">
        <v>211650</v>
      </c>
      <c r="BD12" s="10">
        <v>55</v>
      </c>
      <c r="BE12" s="11">
        <v>11632800</v>
      </c>
      <c r="BF12" s="23">
        <f aca="true" t="shared" si="8" ref="BF12:BH17">BC12*100/AV12-100</f>
        <v>-2.644894204231832</v>
      </c>
      <c r="BG12" s="23">
        <f t="shared" si="8"/>
        <v>-6.937394247038924</v>
      </c>
      <c r="BH12" s="23">
        <f t="shared" si="8"/>
        <v>-9.46532804109269</v>
      </c>
      <c r="BI12" s="8"/>
      <c r="BJ12" s="20">
        <v>210200</v>
      </c>
      <c r="BK12" s="10">
        <v>56.8</v>
      </c>
      <c r="BL12" s="11">
        <v>11925830</v>
      </c>
      <c r="BM12" s="23">
        <f aca="true" t="shared" si="9" ref="BM12:BO17">BJ12*100/BC12-100</f>
        <v>-0.6850933144342122</v>
      </c>
      <c r="BN12" s="23">
        <f t="shared" si="9"/>
        <v>3.2727272727272663</v>
      </c>
      <c r="BO12" s="23">
        <f t="shared" si="9"/>
        <v>2.518998005639233</v>
      </c>
      <c r="BP12" s="8"/>
      <c r="BQ12" s="20">
        <v>223600</v>
      </c>
      <c r="BR12" s="10">
        <v>51.72</v>
      </c>
      <c r="BS12" s="11">
        <v>11564416</v>
      </c>
      <c r="BT12" s="23">
        <f aca="true" t="shared" si="10" ref="BT12:BV17">BQ12*100/BJ12-100</f>
        <v>6.374881065651763</v>
      </c>
      <c r="BU12" s="23">
        <f t="shared" si="10"/>
        <v>-8.943661971830977</v>
      </c>
      <c r="BV12" s="23">
        <f t="shared" si="10"/>
        <v>-3.030514437988799</v>
      </c>
      <c r="BW12" s="8"/>
      <c r="BX12" s="20">
        <v>217200</v>
      </c>
      <c r="BY12" s="10">
        <v>54.6</v>
      </c>
      <c r="BZ12" s="11">
        <v>11826708</v>
      </c>
      <c r="CA12" s="23">
        <f aca="true" t="shared" si="11" ref="CA12:CC17">BX12*100/BQ12-100</f>
        <v>-2.86225402504472</v>
      </c>
      <c r="CB12" s="23">
        <f t="shared" si="11"/>
        <v>5.5684454756380575</v>
      </c>
      <c r="CC12" s="23">
        <f t="shared" si="11"/>
        <v>2.2680955095354562</v>
      </c>
      <c r="CD12" s="8"/>
      <c r="CE12" s="20">
        <v>204130</v>
      </c>
      <c r="CF12" s="10">
        <v>53.1</v>
      </c>
      <c r="CG12" s="11">
        <v>10810653</v>
      </c>
      <c r="CH12" s="23">
        <f aca="true" t="shared" si="12" ref="CH12:CI17">CE12*100/BX12-100</f>
        <v>-6.01749539594843</v>
      </c>
      <c r="CI12" s="23">
        <f t="shared" si="12"/>
        <v>-2.7472527472527446</v>
      </c>
      <c r="CJ12" s="23">
        <f aca="true" t="shared" si="13" ref="CJ12:CJ17">CG12*100/BZ12-100</f>
        <v>-8.591190380281645</v>
      </c>
      <c r="CK12" s="8"/>
      <c r="CL12" s="20">
        <v>202200</v>
      </c>
      <c r="CM12" s="10">
        <v>61.6</v>
      </c>
      <c r="CN12" s="11">
        <v>12430230</v>
      </c>
      <c r="CO12" s="23">
        <f aca="true" t="shared" si="14" ref="CO12:CQ17">CL12*100/CE12-100</f>
        <v>-0.945475922206441</v>
      </c>
      <c r="CP12" s="23">
        <f t="shared" si="14"/>
        <v>16.007532956685495</v>
      </c>
      <c r="CQ12" s="23">
        <f t="shared" si="14"/>
        <v>14.98130593961345</v>
      </c>
      <c r="CR12" s="8"/>
      <c r="CS12" s="20">
        <v>210240</v>
      </c>
      <c r="CT12" s="10">
        <v>54.1</v>
      </c>
      <c r="CU12" s="11">
        <v>11374920</v>
      </c>
      <c r="CV12" s="23">
        <f aca="true" t="shared" si="15" ref="CV12:CX17">CS12*100/CL12-100</f>
        <v>3.9762611275964446</v>
      </c>
      <c r="CW12" s="23">
        <f t="shared" si="15"/>
        <v>-12.175324675324674</v>
      </c>
      <c r="CX12" s="23">
        <f t="shared" si="15"/>
        <v>-8.489867041880956</v>
      </c>
      <c r="CY12" s="8"/>
      <c r="CZ12" s="20">
        <v>199550</v>
      </c>
      <c r="DA12" s="10">
        <v>55.4</v>
      </c>
      <c r="DB12" s="11">
        <v>11054104</v>
      </c>
      <c r="DC12" s="23">
        <f aca="true" t="shared" si="16" ref="DC12:DE17">CZ12*100/CS12-100</f>
        <v>-5.084665144596656</v>
      </c>
      <c r="DD12" s="23">
        <f t="shared" si="16"/>
        <v>2.402957486136785</v>
      </c>
      <c r="DE12" s="23">
        <f t="shared" si="16"/>
        <v>-2.8203802752019413</v>
      </c>
      <c r="DF12" s="8"/>
      <c r="DG12" s="20">
        <v>203100</v>
      </c>
      <c r="DH12" s="10">
        <f>DI12/DG12</f>
        <v>50.47562776957164</v>
      </c>
      <c r="DI12" s="11">
        <v>10251600</v>
      </c>
      <c r="DJ12" s="23">
        <f aca="true" t="shared" si="17" ref="DJ12:DL17">DG12*100/CZ12-100</f>
        <v>1.77900275620145</v>
      </c>
      <c r="DK12" s="23">
        <f t="shared" si="17"/>
        <v>-8.888758538679355</v>
      </c>
      <c r="DL12" s="23">
        <f t="shared" si="17"/>
        <v>-7.259783334768699</v>
      </c>
      <c r="DM12" s="8"/>
      <c r="DN12" s="20">
        <v>207650</v>
      </c>
      <c r="DO12" s="10">
        <v>57.5</v>
      </c>
      <c r="DP12" s="11">
        <v>11941690</v>
      </c>
      <c r="DQ12" s="23">
        <f aca="true" t="shared" si="18" ref="DQ12:DS17">DN12*100/DG12-100</f>
        <v>2.240275726243226</v>
      </c>
      <c r="DR12" s="23">
        <f t="shared" si="18"/>
        <v>13.91636427484491</v>
      </c>
      <c r="DS12" s="23">
        <f t="shared" si="18"/>
        <v>16.486109485348635</v>
      </c>
      <c r="DT12" s="8"/>
      <c r="DU12" s="20">
        <v>167480</v>
      </c>
      <c r="DV12" s="10">
        <v>52.5</v>
      </c>
      <c r="DW12" s="11">
        <v>8797034</v>
      </c>
      <c r="DX12" s="23">
        <f aca="true" t="shared" si="19" ref="DX12:DZ17">DU12*100/DN12-100</f>
        <v>-19.345051769804954</v>
      </c>
      <c r="DY12" s="23">
        <f t="shared" si="19"/>
        <v>-8.695652173913047</v>
      </c>
      <c r="DZ12" s="23">
        <f t="shared" si="19"/>
        <v>-26.33342516846443</v>
      </c>
      <c r="EA12" s="8"/>
      <c r="EB12" s="20">
        <v>166270</v>
      </c>
      <c r="EC12" s="10">
        <v>63.9</v>
      </c>
      <c r="ED12" s="11">
        <v>10549780</v>
      </c>
      <c r="EE12" s="23">
        <f aca="true" t="shared" si="20" ref="EE12:EG17">EB12*100/DU12-100</f>
        <v>-0.7224743252925663</v>
      </c>
      <c r="EF12" s="23">
        <f t="shared" si="20"/>
        <v>21.714285714285708</v>
      </c>
      <c r="EG12" s="23">
        <f t="shared" si="20"/>
        <v>19.92428357103087</v>
      </c>
      <c r="EH12" s="8"/>
      <c r="EI12" s="20">
        <v>176800</v>
      </c>
      <c r="EJ12" s="10">
        <v>65.1</v>
      </c>
      <c r="EK12" s="11">
        <v>11507780</v>
      </c>
      <c r="EL12" s="23">
        <f aca="true" t="shared" si="21" ref="EL12:EN17">EI12*100/EB12-100</f>
        <v>6.333072713057078</v>
      </c>
      <c r="EM12" s="23">
        <f t="shared" si="21"/>
        <v>1.8779342723004646</v>
      </c>
      <c r="EN12" s="23">
        <f t="shared" si="21"/>
        <v>9.080758082159065</v>
      </c>
      <c r="EO12" s="8"/>
      <c r="EP12" s="20">
        <v>164450</v>
      </c>
      <c r="EQ12" s="10">
        <v>63.8</v>
      </c>
      <c r="ER12" s="11">
        <v>10494720</v>
      </c>
      <c r="ES12" s="23">
        <f aca="true" t="shared" si="22" ref="ES12:EU17">EP12*100/EI12-100</f>
        <v>-6.985294117647058</v>
      </c>
      <c r="ET12" s="23">
        <f t="shared" si="22"/>
        <v>-1.996927803379407</v>
      </c>
      <c r="EU12" s="23">
        <f t="shared" si="22"/>
        <v>-8.803261793325902</v>
      </c>
      <c r="EV12" s="8"/>
      <c r="EW12" s="20">
        <v>193840</v>
      </c>
      <c r="EX12" s="10">
        <f aca="true" t="shared" si="23" ref="EX12:EX17">EY12/EW12</f>
        <v>49.27223483285184</v>
      </c>
      <c r="EY12" s="11">
        <v>9550930</v>
      </c>
      <c r="EZ12" s="11">
        <v>9550930</v>
      </c>
      <c r="FA12" s="23">
        <f aca="true" t="shared" si="24" ref="FA12:FB17">EW12*100/EP12-100</f>
        <v>17.871693523867435</v>
      </c>
      <c r="FB12" s="23">
        <f t="shared" si="24"/>
        <v>-22.770791798037877</v>
      </c>
      <c r="FC12" s="23">
        <f aca="true" t="shared" si="25" ref="FC12:FC17">EZ12*100/ER12-100</f>
        <v>-8.992998383949256</v>
      </c>
      <c r="FD12" s="8"/>
      <c r="FE12" s="20">
        <v>180770</v>
      </c>
      <c r="FF12" s="10">
        <f>FG12/FE12</f>
        <v>61.08535708358688</v>
      </c>
      <c r="FG12" s="11">
        <v>11042400</v>
      </c>
      <c r="FH12" s="11">
        <v>11018675</v>
      </c>
      <c r="FI12" s="23">
        <f aca="true" t="shared" si="26" ref="FI12:FI17">FE12*100/EW12-100</f>
        <v>-6.742674370614935</v>
      </c>
      <c r="FJ12" s="23">
        <f aca="true" t="shared" si="27" ref="FJ12:FK17">FF12*100/EX12-100</f>
        <v>23.97521096984775</v>
      </c>
      <c r="FK12" s="23">
        <f t="shared" si="27"/>
        <v>15.615966193868033</v>
      </c>
      <c r="FL12" s="23">
        <f aca="true" t="shared" si="28" ref="FL12:FL17">FH12*100/EZ12-100</f>
        <v>15.367561064734005</v>
      </c>
      <c r="FM12" s="23"/>
      <c r="FN12" s="20">
        <v>162900</v>
      </c>
      <c r="FO12" s="10">
        <f>FP12/FN12</f>
        <v>53.64426028238183</v>
      </c>
      <c r="FP12" s="11">
        <v>8738650</v>
      </c>
      <c r="FQ12" s="11">
        <v>8738650</v>
      </c>
      <c r="FR12" s="23">
        <f>FN12*100/FE12-100</f>
        <v>-9.885489848979361</v>
      </c>
      <c r="FS12" s="23">
        <f>FO12*100/FF12-100</f>
        <v>-12.181473853092058</v>
      </c>
      <c r="FT12" s="23">
        <f>FP12*100/FG12-100</f>
        <v>-20.862765340867924</v>
      </c>
      <c r="FU12" s="23">
        <f>FQ12*100/FH12-100</f>
        <v>-20.692369999115144</v>
      </c>
      <c r="FV12" s="23"/>
      <c r="FW12" s="20">
        <v>144994</v>
      </c>
      <c r="FX12" s="10">
        <f aca="true" t="shared" si="29" ref="FX12:FX17">FY12/FW12</f>
        <v>58.8659530739203</v>
      </c>
      <c r="FY12" s="20">
        <v>8535210</v>
      </c>
      <c r="FZ12" s="20">
        <v>8535210</v>
      </c>
      <c r="GA12" s="23">
        <f>FW12*100/FN12-100</f>
        <v>-10.992019643953341</v>
      </c>
      <c r="GB12" s="23">
        <f>FX12*100/FO12-100</f>
        <v>9.73392635866658</v>
      </c>
      <c r="GC12" s="23">
        <f>FY12*100/FP12-100</f>
        <v>-2.3280483827593486</v>
      </c>
      <c r="GD12" s="23">
        <f>FZ12*100/FQ12-100</f>
        <v>-2.3280483827593486</v>
      </c>
      <c r="GE12" s="23"/>
      <c r="GF12" s="20">
        <v>142685</v>
      </c>
      <c r="GG12" s="10">
        <f aca="true" t="shared" si="30" ref="GG12:GG17">GH12/GF12</f>
        <v>62.923993412061535</v>
      </c>
      <c r="GH12" s="20">
        <v>8978310</v>
      </c>
      <c r="GI12" s="20">
        <v>8978310</v>
      </c>
      <c r="GJ12" s="23">
        <f>GF12*100/FW12-100</f>
        <v>-1.5924796888147057</v>
      </c>
      <c r="GK12" s="23">
        <f>GG12*100/FX12-100</f>
        <v>6.8936968251331905</v>
      </c>
      <c r="GL12" s="23">
        <f>GH12*100/FY12-100</f>
        <v>5.191436414569765</v>
      </c>
      <c r="GM12" s="23">
        <f>GI12*100/FZ12-100</f>
        <v>5.191436414569765</v>
      </c>
      <c r="GN12" s="23"/>
      <c r="GO12" s="20">
        <v>160282</v>
      </c>
      <c r="GP12" s="10">
        <f aca="true" t="shared" si="31" ref="GP12:GP17">GQ12/GO12</f>
        <v>67.82372318788136</v>
      </c>
      <c r="GQ12" s="20">
        <v>10870922</v>
      </c>
      <c r="GR12" s="20">
        <v>10870922</v>
      </c>
      <c r="GS12" s="23">
        <f>GO12*100/GF12-100</f>
        <v>12.332760976977255</v>
      </c>
      <c r="GT12" s="23">
        <f>GP12*100/GG12-100</f>
        <v>7.786743196245752</v>
      </c>
      <c r="GU12" s="23">
        <f>GQ12*100/GH12-100</f>
        <v>21.079824599507035</v>
      </c>
      <c r="GV12" s="23">
        <f>GR12*100/GI12-100</f>
        <v>21.079824599507035</v>
      </c>
      <c r="GW12" s="23"/>
      <c r="GX12" s="20">
        <v>171604</v>
      </c>
      <c r="GY12" s="10">
        <f aca="true" t="shared" si="32" ref="GY12:GY17">GZ12/GX12</f>
        <v>56.77970210484604</v>
      </c>
      <c r="GZ12" s="20">
        <v>9743624</v>
      </c>
      <c r="HA12" s="20">
        <v>9743624</v>
      </c>
      <c r="HB12" s="23">
        <f>GX12*100/GO12-100</f>
        <v>7.063800052407629</v>
      </c>
      <c r="HC12" s="23">
        <f>GY12*100/GP12-100</f>
        <v>-16.283419081022444</v>
      </c>
      <c r="HD12" s="23">
        <f>GZ12*100/GQ12-100</f>
        <v>-10.369847194193838</v>
      </c>
      <c r="HE12" s="23">
        <f>HA12*100/GR12-100</f>
        <v>-10.369847194193838</v>
      </c>
      <c r="HF12" s="23"/>
      <c r="HG12" s="20">
        <v>151848</v>
      </c>
      <c r="HH12" s="10">
        <f aca="true" t="shared" si="33" ref="HH12:HH17">HI12/HG12</f>
        <v>55.86233602023076</v>
      </c>
      <c r="HI12" s="20">
        <v>8482584</v>
      </c>
      <c r="HJ12" s="20">
        <v>8475674</v>
      </c>
      <c r="HK12" s="23">
        <f aca="true" t="shared" si="34" ref="HK12:HN17">HG12*100/GX12-100</f>
        <v>-11.512552154961426</v>
      </c>
      <c r="HL12" s="23">
        <f t="shared" si="34"/>
        <v>-1.6156585022607572</v>
      </c>
      <c r="HM12" s="23">
        <f t="shared" si="34"/>
        <v>-12.942207129503359</v>
      </c>
      <c r="HN12" s="23">
        <f t="shared" si="34"/>
        <v>-13.01312530122263</v>
      </c>
      <c r="HO12" s="23"/>
      <c r="HP12" s="20">
        <v>136084</v>
      </c>
      <c r="HQ12" s="10">
        <f aca="true" t="shared" si="35" ref="HQ12:HQ17">HR12/HP12</f>
        <v>61.33324270303636</v>
      </c>
      <c r="HR12" s="20">
        <v>8346473</v>
      </c>
      <c r="HS12" s="20">
        <v>8346473</v>
      </c>
      <c r="HT12" s="23">
        <f aca="true" t="shared" si="36" ref="HT12:HT17">HP12*100/HG12-100</f>
        <v>-10.381434065644598</v>
      </c>
      <c r="HU12" s="23">
        <f aca="true" t="shared" si="37" ref="HU12:HU17">HQ12*100/HH12-100</f>
        <v>9.793551563658724</v>
      </c>
      <c r="HV12" s="23">
        <f aca="true" t="shared" si="38" ref="HV12:HW16">HR12*100/HI12-100</f>
        <v>-1.6045936002520023</v>
      </c>
      <c r="HW12" s="23">
        <f t="shared" si="38"/>
        <v>-1.5243743447423839</v>
      </c>
      <c r="HX12" s="23"/>
      <c r="HY12" s="20">
        <v>130669</v>
      </c>
      <c r="HZ12" s="10">
        <f aca="true" t="shared" si="39" ref="HZ12:HZ17">IA12/HY12</f>
        <v>67.63834574382601</v>
      </c>
      <c r="IA12" s="20">
        <v>8838235</v>
      </c>
      <c r="IB12" s="20">
        <v>8838235</v>
      </c>
      <c r="IC12" s="23">
        <f aca="true" t="shared" si="40" ref="IC12:IC17">HY12*100/HP12-100</f>
        <v>-3.9791599306310843</v>
      </c>
      <c r="ID12" s="23">
        <f aca="true" t="shared" si="41" ref="ID12:ID17">HZ12*100/HQ12-100</f>
        <v>10.280074496171238</v>
      </c>
      <c r="IE12" s="23">
        <f aca="true" t="shared" si="42" ref="IE12:IE49">IA12*100/HR12-100</f>
        <v>5.891853960349479</v>
      </c>
      <c r="IF12" s="23">
        <f aca="true" t="shared" si="43" ref="IF12:IF49">IB12*100/HS12-100</f>
        <v>5.891853960349479</v>
      </c>
      <c r="IG12" s="23"/>
      <c r="IH12" s="1" t="s">
        <v>12</v>
      </c>
      <c r="II12" s="29">
        <f aca="true" t="shared" si="44" ref="II12:II44">AVERAGE(EI12,EP12,EW12,FE12,FN12,FW12,GF12,GO12,GX12,HG12)</f>
        <v>165017.3</v>
      </c>
      <c r="IJ12" s="30">
        <f aca="true" t="shared" si="45" ref="IJ12:IJ44">AVERAGE(EJ12,EQ12,EX12,FF12,FO12,FX12,GG12,GP12,GY12,HH12)</f>
        <v>59.51575599977605</v>
      </c>
      <c r="IK12" s="29">
        <f aca="true" t="shared" si="46" ref="IK12:IK44">AVERAGE(EK12,ER12,EZ12,FH12,FQ12,FZ12,GI12,GR12,HA12,HJ12)</f>
        <v>9791449.5</v>
      </c>
      <c r="IL12" s="25">
        <f aca="true" t="shared" si="47" ref="IL12:IL44">HP12*100/II12-100</f>
        <v>-17.533494972951317</v>
      </c>
      <c r="IM12" s="25">
        <f aca="true" t="shared" si="48" ref="IM12:IM44">HQ12*100/IJ12-100</f>
        <v>3.053790836946021</v>
      </c>
      <c r="IN12" s="25">
        <f aca="true" t="shared" si="49" ref="IN12:IN44">HS12*100/IK12-100</f>
        <v>-14.75753411177783</v>
      </c>
      <c r="IP12" s="30">
        <f>HP12*100/Italia!BR12</f>
        <v>24.579782603198456</v>
      </c>
      <c r="IQ12" s="30">
        <f>HR12*100/Italia!BT12</f>
        <v>27.762830517292077</v>
      </c>
      <c r="IR12" s="30">
        <f>HS12*100/Italia!BU12</f>
        <v>27.85715954512564</v>
      </c>
    </row>
    <row r="13" spans="1:252" ht="12">
      <c r="A13" s="1" t="s">
        <v>13</v>
      </c>
      <c r="B13" s="20">
        <v>45830</v>
      </c>
      <c r="C13" s="10">
        <v>50.8</v>
      </c>
      <c r="D13" s="11">
        <v>2314200</v>
      </c>
      <c r="E13" s="9"/>
      <c r="F13" s="20">
        <v>69615</v>
      </c>
      <c r="G13" s="10">
        <f>H13/F13</f>
        <v>49.18911154205272</v>
      </c>
      <c r="H13" s="11">
        <v>3424300</v>
      </c>
      <c r="I13" s="23">
        <f t="shared" si="0"/>
        <v>51.898319877809286</v>
      </c>
      <c r="J13" s="23">
        <f t="shared" si="0"/>
        <v>-3.1710402715497565</v>
      </c>
      <c r="K13" s="23">
        <f t="shared" si="0"/>
        <v>47.9690605824907</v>
      </c>
      <c r="L13" s="8"/>
      <c r="M13" s="20">
        <v>94000</v>
      </c>
      <c r="N13" s="10">
        <f t="shared" si="1"/>
        <v>52.077659574468086</v>
      </c>
      <c r="O13" s="11">
        <v>4895300</v>
      </c>
      <c r="P13" s="23">
        <f t="shared" si="2"/>
        <v>35.02837032248797</v>
      </c>
      <c r="Q13" s="23">
        <f t="shared" si="2"/>
        <v>5.872332192757526</v>
      </c>
      <c r="R13" s="23">
        <f t="shared" si="2"/>
        <v>42.95768478229127</v>
      </c>
      <c r="S13" s="8"/>
      <c r="T13" s="20">
        <v>76750</v>
      </c>
      <c r="U13" s="10">
        <v>44</v>
      </c>
      <c r="V13" s="11">
        <v>3213600</v>
      </c>
      <c r="W13" s="23">
        <f t="shared" si="3"/>
        <v>-18.351063829787236</v>
      </c>
      <c r="X13" s="23">
        <f t="shared" si="3"/>
        <v>-15.51079606969951</v>
      </c>
      <c r="Y13" s="23">
        <f t="shared" si="3"/>
        <v>-34.35335934467754</v>
      </c>
      <c r="Z13" s="8"/>
      <c r="AA13" s="20">
        <v>68100</v>
      </c>
      <c r="AB13" s="10">
        <f>AC13/AA13</f>
        <v>38.44493392070485</v>
      </c>
      <c r="AC13" s="11">
        <v>2618100</v>
      </c>
      <c r="AD13" s="23">
        <f t="shared" si="4"/>
        <v>-11.270358306188925</v>
      </c>
      <c r="AE13" s="23">
        <f t="shared" si="4"/>
        <v>-12.625150180216252</v>
      </c>
      <c r="AF13" s="23">
        <f t="shared" si="4"/>
        <v>-18.530619865571325</v>
      </c>
      <c r="AG13" s="8"/>
      <c r="AH13" s="20">
        <v>72150</v>
      </c>
      <c r="AI13" s="10">
        <v>53.6</v>
      </c>
      <c r="AJ13" s="11">
        <v>3868500</v>
      </c>
      <c r="AK13" s="23">
        <f t="shared" si="5"/>
        <v>5.947136563876654</v>
      </c>
      <c r="AL13" s="23">
        <f t="shared" si="5"/>
        <v>39.42019021427751</v>
      </c>
      <c r="AM13" s="23">
        <f t="shared" si="5"/>
        <v>47.75982582789047</v>
      </c>
      <c r="AN13" s="8"/>
      <c r="AO13" s="20">
        <v>89000</v>
      </c>
      <c r="AP13" s="10">
        <f>AQ13/AO13</f>
        <v>55.114606741573034</v>
      </c>
      <c r="AQ13" s="11">
        <v>4905200</v>
      </c>
      <c r="AR13" s="23">
        <f t="shared" si="6"/>
        <v>23.35412335412336</v>
      </c>
      <c r="AS13" s="23">
        <f t="shared" si="6"/>
        <v>2.825758846218349</v>
      </c>
      <c r="AT13" s="23">
        <f t="shared" si="6"/>
        <v>26.798500710869845</v>
      </c>
      <c r="AU13" s="8"/>
      <c r="AV13" s="20">
        <v>65650</v>
      </c>
      <c r="AW13" s="10">
        <v>60.5</v>
      </c>
      <c r="AX13" s="11">
        <v>3969300</v>
      </c>
      <c r="AY13" s="23">
        <f t="shared" si="7"/>
        <v>-26.235955056179776</v>
      </c>
      <c r="AZ13" s="23">
        <f t="shared" si="7"/>
        <v>9.77126314931094</v>
      </c>
      <c r="BA13" s="23">
        <f t="shared" si="7"/>
        <v>-19.07975209981244</v>
      </c>
      <c r="BB13" s="8"/>
      <c r="BC13" s="20">
        <v>64230</v>
      </c>
      <c r="BD13" s="10">
        <v>55.4</v>
      </c>
      <c r="BE13" s="11">
        <v>3558795</v>
      </c>
      <c r="BF13" s="23">
        <f t="shared" si="8"/>
        <v>-2.1629855293221567</v>
      </c>
      <c r="BG13" s="23">
        <f t="shared" si="8"/>
        <v>-8.429752066115697</v>
      </c>
      <c r="BH13" s="23">
        <f t="shared" si="8"/>
        <v>-10.341999848839848</v>
      </c>
      <c r="BI13" s="8"/>
      <c r="BJ13" s="20">
        <v>48350</v>
      </c>
      <c r="BK13" s="10">
        <v>56.15</v>
      </c>
      <c r="BL13" s="11">
        <v>2705504</v>
      </c>
      <c r="BM13" s="23">
        <f t="shared" si="9"/>
        <v>-24.72364938502257</v>
      </c>
      <c r="BN13" s="23">
        <f t="shared" si="9"/>
        <v>1.3537906137184166</v>
      </c>
      <c r="BO13" s="23">
        <f t="shared" si="9"/>
        <v>-23.976964112852812</v>
      </c>
      <c r="BP13" s="8"/>
      <c r="BQ13" s="20">
        <v>33570</v>
      </c>
      <c r="BR13" s="10">
        <f>BS13/BQ13</f>
        <v>46.38793565683646</v>
      </c>
      <c r="BS13" s="11">
        <v>1557243</v>
      </c>
      <c r="BT13" s="23">
        <f t="shared" si="10"/>
        <v>-30.568769389865565</v>
      </c>
      <c r="BU13" s="23">
        <f t="shared" si="10"/>
        <v>-17.38568894597246</v>
      </c>
      <c r="BV13" s="23">
        <f t="shared" si="10"/>
        <v>-42.44166706092469</v>
      </c>
      <c r="BW13" s="8"/>
      <c r="BX13" s="20">
        <f>25250+100</f>
        <v>25350</v>
      </c>
      <c r="BY13" s="10">
        <f>(1412686+5500)/BX13</f>
        <v>55.94422090729783</v>
      </c>
      <c r="BZ13" s="11">
        <v>1409405</v>
      </c>
      <c r="CA13" s="23">
        <f t="shared" si="11"/>
        <v>-24.48614834673816</v>
      </c>
      <c r="CB13" s="23">
        <f t="shared" si="11"/>
        <v>20.600798710155587</v>
      </c>
      <c r="CC13" s="23">
        <f t="shared" si="11"/>
        <v>-9.493572936272628</v>
      </c>
      <c r="CD13" s="8"/>
      <c r="CE13" s="20">
        <v>15690</v>
      </c>
      <c r="CF13" s="10">
        <v>54.7</v>
      </c>
      <c r="CG13" s="11">
        <v>844541</v>
      </c>
      <c r="CH13" s="23">
        <f t="shared" si="12"/>
        <v>-38.10650887573964</v>
      </c>
      <c r="CI13" s="23">
        <f t="shared" si="12"/>
        <v>-2.224038313733189</v>
      </c>
      <c r="CJ13" s="23">
        <f t="shared" si="13"/>
        <v>-40.07818902302745</v>
      </c>
      <c r="CK13" s="8"/>
      <c r="CL13" s="20">
        <v>31936</v>
      </c>
      <c r="CM13" s="10">
        <v>61.3</v>
      </c>
      <c r="CN13" s="11">
        <v>1955786</v>
      </c>
      <c r="CO13" s="23">
        <f t="shared" si="14"/>
        <v>103.54365838113449</v>
      </c>
      <c r="CP13" s="23">
        <f t="shared" si="14"/>
        <v>12.065813528336378</v>
      </c>
      <c r="CQ13" s="23">
        <f t="shared" si="14"/>
        <v>131.5797575250935</v>
      </c>
      <c r="CR13" s="8"/>
      <c r="CS13" s="20">
        <v>29983</v>
      </c>
      <c r="CT13" s="10">
        <v>52.3</v>
      </c>
      <c r="CU13" s="11">
        <v>1566748</v>
      </c>
      <c r="CV13" s="23">
        <f t="shared" si="15"/>
        <v>-6.1153557114228505</v>
      </c>
      <c r="CW13" s="23">
        <f t="shared" si="15"/>
        <v>-14.681892332789559</v>
      </c>
      <c r="CX13" s="23">
        <f t="shared" si="15"/>
        <v>-19.891644586882208</v>
      </c>
      <c r="CY13" s="8"/>
      <c r="CZ13" s="20">
        <v>25610</v>
      </c>
      <c r="DA13" s="10">
        <v>51.9</v>
      </c>
      <c r="DB13" s="11">
        <v>1329840</v>
      </c>
      <c r="DC13" s="23">
        <f t="shared" si="16"/>
        <v>-14.584931461161318</v>
      </c>
      <c r="DD13" s="23">
        <f t="shared" si="16"/>
        <v>-0.7648183556405286</v>
      </c>
      <c r="DE13" s="23">
        <f t="shared" si="16"/>
        <v>-15.121002228820458</v>
      </c>
      <c r="DF13" s="8"/>
      <c r="DG13" s="20">
        <v>18220</v>
      </c>
      <c r="DH13" s="10">
        <f>DI13/DG13</f>
        <v>50.07080131723381</v>
      </c>
      <c r="DI13" s="11">
        <v>912290</v>
      </c>
      <c r="DJ13" s="23">
        <f t="shared" si="17"/>
        <v>-28.855915657946113</v>
      </c>
      <c r="DK13" s="23">
        <f t="shared" si="17"/>
        <v>-3.5244675968520056</v>
      </c>
      <c r="DL13" s="23">
        <f t="shared" si="17"/>
        <v>-31.398514106960235</v>
      </c>
      <c r="DM13" s="8"/>
      <c r="DN13" s="20">
        <v>24030</v>
      </c>
      <c r="DO13" s="10">
        <v>53.3</v>
      </c>
      <c r="DP13" s="11">
        <v>1259020</v>
      </c>
      <c r="DQ13" s="23">
        <f t="shared" si="18"/>
        <v>31.88803512623491</v>
      </c>
      <c r="DR13" s="23">
        <f t="shared" si="18"/>
        <v>6.449265036337124</v>
      </c>
      <c r="DS13" s="23">
        <f t="shared" si="18"/>
        <v>38.0065549331901</v>
      </c>
      <c r="DT13" s="8"/>
      <c r="DU13" s="20">
        <v>21514</v>
      </c>
      <c r="DV13" s="10">
        <v>52.3</v>
      </c>
      <c r="DW13" s="11">
        <v>1120817</v>
      </c>
      <c r="DX13" s="23">
        <f t="shared" si="19"/>
        <v>-10.470245526425302</v>
      </c>
      <c r="DY13" s="23">
        <f t="shared" si="19"/>
        <v>-1.8761726078799228</v>
      </c>
      <c r="DZ13" s="23">
        <f t="shared" si="19"/>
        <v>-10.977029753300187</v>
      </c>
      <c r="EA13" s="8"/>
      <c r="EB13" s="20">
        <v>23509</v>
      </c>
      <c r="EC13" s="10">
        <v>62.6</v>
      </c>
      <c r="ED13" s="11">
        <v>1470540</v>
      </c>
      <c r="EE13" s="23">
        <f t="shared" si="20"/>
        <v>9.273031514362742</v>
      </c>
      <c r="EF13" s="23">
        <f t="shared" si="20"/>
        <v>19.69407265774379</v>
      </c>
      <c r="EG13" s="23">
        <f t="shared" si="20"/>
        <v>31.20250674284918</v>
      </c>
      <c r="EH13" s="8"/>
      <c r="EI13" s="20">
        <v>22256</v>
      </c>
      <c r="EJ13" s="10">
        <v>66.1</v>
      </c>
      <c r="EK13" s="11">
        <v>1470480</v>
      </c>
      <c r="EL13" s="23">
        <f t="shared" si="21"/>
        <v>-5.329873665404733</v>
      </c>
      <c r="EM13" s="23">
        <f t="shared" si="21"/>
        <v>5.591054313099022</v>
      </c>
      <c r="EN13" s="23">
        <f t="shared" si="21"/>
        <v>-0.00408013382839556</v>
      </c>
      <c r="EO13" s="8"/>
      <c r="EP13" s="20">
        <v>32190</v>
      </c>
      <c r="EQ13" s="10">
        <v>60.4</v>
      </c>
      <c r="ER13" s="11">
        <v>1943800</v>
      </c>
      <c r="ES13" s="23">
        <f t="shared" si="22"/>
        <v>44.6351545650611</v>
      </c>
      <c r="ET13" s="23">
        <f t="shared" si="22"/>
        <v>-8.623298033282893</v>
      </c>
      <c r="EU13" s="23">
        <f t="shared" si="22"/>
        <v>32.1881290462978</v>
      </c>
      <c r="EV13" s="8"/>
      <c r="EW13" s="20">
        <v>46467</v>
      </c>
      <c r="EX13" s="10">
        <f t="shared" si="23"/>
        <v>49.353196892418275</v>
      </c>
      <c r="EY13" s="11">
        <v>2293295</v>
      </c>
      <c r="EZ13" s="11">
        <v>2292935</v>
      </c>
      <c r="FA13" s="23">
        <f t="shared" si="24"/>
        <v>44.352283317800556</v>
      </c>
      <c r="FB13" s="23">
        <f t="shared" si="24"/>
        <v>-18.289409118512793</v>
      </c>
      <c r="FC13" s="23">
        <f t="shared" si="25"/>
        <v>17.961467229138805</v>
      </c>
      <c r="FD13" s="8"/>
      <c r="FE13" s="20">
        <v>74880</v>
      </c>
      <c r="FF13" s="10">
        <f aca="true" t="shared" si="50" ref="FF13:FF29">FG13/FE13</f>
        <v>55.744017094017096</v>
      </c>
      <c r="FG13" s="11">
        <v>4174112</v>
      </c>
      <c r="FH13" s="11">
        <v>4174112</v>
      </c>
      <c r="FI13" s="23">
        <f t="shared" si="26"/>
        <v>61.14662018206468</v>
      </c>
      <c r="FJ13" s="23">
        <f t="shared" si="27"/>
        <v>12.949151430918945</v>
      </c>
      <c r="FK13" s="23">
        <f t="shared" si="27"/>
        <v>82.01374005524801</v>
      </c>
      <c r="FL13" s="23">
        <f t="shared" si="28"/>
        <v>82.04231694313185</v>
      </c>
      <c r="FM13" s="23"/>
      <c r="FN13" s="20">
        <v>68700</v>
      </c>
      <c r="FO13" s="10">
        <f aca="true" t="shared" si="51" ref="FO13:FO33">FP13/FN13</f>
        <v>53.020960698689954</v>
      </c>
      <c r="FP13" s="11">
        <v>3642540</v>
      </c>
      <c r="FQ13" s="11">
        <v>3642540</v>
      </c>
      <c r="FR13" s="23">
        <f aca="true" t="shared" si="52" ref="FR13:FS34">FN13*100/FE13-100</f>
        <v>-8.253205128205124</v>
      </c>
      <c r="FS13" s="23">
        <f t="shared" si="52"/>
        <v>-4.884930324871419</v>
      </c>
      <c r="FT13" s="23">
        <f aca="true" t="shared" si="53" ref="FT13:FU78">FP13*100/FG13-100</f>
        <v>-12.734972132994997</v>
      </c>
      <c r="FU13" s="23">
        <f t="shared" si="53"/>
        <v>-12.734972132994997</v>
      </c>
      <c r="FV13" s="23"/>
      <c r="FW13" s="20">
        <v>72015</v>
      </c>
      <c r="FX13" s="10">
        <f t="shared" si="29"/>
        <v>50.391446226480596</v>
      </c>
      <c r="FY13" s="20">
        <v>3628940</v>
      </c>
      <c r="FZ13" s="20">
        <v>3628940</v>
      </c>
      <c r="GA13" s="23">
        <f aca="true" t="shared" si="54" ref="GA13:GD21">FW13*100/FN13-100</f>
        <v>4.825327510917035</v>
      </c>
      <c r="GB13" s="23">
        <f t="shared" si="54"/>
        <v>-4.959386698314447</v>
      </c>
      <c r="GC13" s="23">
        <f t="shared" si="54"/>
        <v>-0.3733658381239451</v>
      </c>
      <c r="GD13" s="23">
        <f t="shared" si="54"/>
        <v>-0.3733658381239451</v>
      </c>
      <c r="GE13" s="23"/>
      <c r="GF13" s="20">
        <v>41993</v>
      </c>
      <c r="GG13" s="10">
        <f t="shared" si="30"/>
        <v>60.114209511108996</v>
      </c>
      <c r="GH13" s="20">
        <v>2524376</v>
      </c>
      <c r="GI13" s="20">
        <v>2520376</v>
      </c>
      <c r="GJ13" s="23">
        <f aca="true" t="shared" si="55" ref="GJ13:GJ34">GF13*100/FW13-100</f>
        <v>-41.68853711032424</v>
      </c>
      <c r="GK13" s="23">
        <f aca="true" t="shared" si="56" ref="GK13:GK33">GG13*100/FX13-100</f>
        <v>19.29447160720524</v>
      </c>
      <c r="GL13" s="23">
        <f aca="true" t="shared" si="57" ref="GL13:GM77">GH13*100/FY13-100</f>
        <v>-30.437648459329722</v>
      </c>
      <c r="GM13" s="23">
        <f t="shared" si="57"/>
        <v>-30.547873483717012</v>
      </c>
      <c r="GN13" s="23"/>
      <c r="GO13" s="20">
        <v>47388</v>
      </c>
      <c r="GP13" s="10">
        <f t="shared" si="31"/>
        <v>60.7596859964548</v>
      </c>
      <c r="GQ13" s="20">
        <v>2879280</v>
      </c>
      <c r="GR13" s="20">
        <v>2879280</v>
      </c>
      <c r="GS13" s="23">
        <f aca="true" t="shared" si="58" ref="GS13:GT35">GO13*100/GF13-100</f>
        <v>12.847379325125615</v>
      </c>
      <c r="GT13" s="23">
        <f t="shared" si="58"/>
        <v>1.0737502673582071</v>
      </c>
      <c r="GU13" s="23">
        <f aca="true" t="shared" si="59" ref="GU13:GU77">GQ13*100/GH13-100</f>
        <v>14.059078362335882</v>
      </c>
      <c r="GV13" s="23">
        <f aca="true" t="shared" si="60" ref="GV13:GV77">GR13*100/GI13-100</f>
        <v>14.240097509260522</v>
      </c>
      <c r="GW13" s="23"/>
      <c r="GX13" s="20">
        <v>39723</v>
      </c>
      <c r="GY13" s="10">
        <f t="shared" si="32"/>
        <v>50.75238526798077</v>
      </c>
      <c r="GZ13" s="20">
        <v>2016037</v>
      </c>
      <c r="HA13" s="20">
        <v>2016037</v>
      </c>
      <c r="HB13" s="23">
        <f aca="true" t="shared" si="61" ref="HB13:HC17">GX13*100/GO13-100</f>
        <v>-16.174981007850093</v>
      </c>
      <c r="HC13" s="23">
        <f t="shared" si="61"/>
        <v>-16.47029698122195</v>
      </c>
      <c r="HD13" s="23">
        <f aca="true" t="shared" si="62" ref="HD13:HD77">GZ13*100/GQ13-100</f>
        <v>-29.981210580422882</v>
      </c>
      <c r="HE13" s="23">
        <f aca="true" t="shared" si="63" ref="HE13:HE77">HA13*100/GR13-100</f>
        <v>-29.981210580422882</v>
      </c>
      <c r="HF13" s="23"/>
      <c r="HG13" s="20">
        <v>43225</v>
      </c>
      <c r="HH13" s="10">
        <f t="shared" si="33"/>
        <v>58.11863504916136</v>
      </c>
      <c r="HI13" s="20">
        <v>2512178</v>
      </c>
      <c r="HJ13" s="20">
        <v>2512178</v>
      </c>
      <c r="HK13" s="23">
        <f t="shared" si="34"/>
        <v>8.81605115424314</v>
      </c>
      <c r="HL13" s="23">
        <f t="shared" si="34"/>
        <v>14.514095726310416</v>
      </c>
      <c r="HM13" s="23">
        <f t="shared" si="34"/>
        <v>24.6097169843609</v>
      </c>
      <c r="HN13" s="23">
        <f t="shared" si="34"/>
        <v>24.6097169843609</v>
      </c>
      <c r="HO13" s="23"/>
      <c r="HP13" s="20">
        <v>65862</v>
      </c>
      <c r="HQ13" s="10">
        <f t="shared" si="35"/>
        <v>59.91005435607786</v>
      </c>
      <c r="HR13" s="20">
        <v>3945796</v>
      </c>
      <c r="HS13" s="20">
        <v>3945796</v>
      </c>
      <c r="HT13" s="23">
        <f t="shared" si="36"/>
        <v>52.37015615962986</v>
      </c>
      <c r="HU13" s="23">
        <f t="shared" si="37"/>
        <v>3.08234924203083</v>
      </c>
      <c r="HV13" s="23">
        <f t="shared" si="38"/>
        <v>57.066736513097396</v>
      </c>
      <c r="HW13" s="23">
        <f t="shared" si="38"/>
        <v>57.066736513097396</v>
      </c>
      <c r="HX13" s="23"/>
      <c r="HY13" s="20">
        <v>92303</v>
      </c>
      <c r="HZ13" s="10">
        <f t="shared" si="39"/>
        <v>63.489875735349884</v>
      </c>
      <c r="IA13" s="20">
        <v>5860306</v>
      </c>
      <c r="IB13" s="20">
        <v>5860306</v>
      </c>
      <c r="IC13" s="23">
        <f t="shared" si="40"/>
        <v>40.146062980170655</v>
      </c>
      <c r="ID13" s="23">
        <f t="shared" si="41"/>
        <v>5.97532654201116</v>
      </c>
      <c r="IE13" s="23">
        <f t="shared" si="42"/>
        <v>48.52024787900845</v>
      </c>
      <c r="IF13" s="23">
        <f t="shared" si="43"/>
        <v>48.52024787900845</v>
      </c>
      <c r="IG13" s="23"/>
      <c r="IH13" s="1" t="s">
        <v>13</v>
      </c>
      <c r="II13" s="29">
        <f t="shared" si="44"/>
        <v>48883.7</v>
      </c>
      <c r="IJ13" s="30">
        <f t="shared" si="45"/>
        <v>56.47545367363118</v>
      </c>
      <c r="IK13" s="29">
        <f t="shared" si="46"/>
        <v>2708067.8</v>
      </c>
      <c r="IL13" s="25">
        <f t="shared" si="47"/>
        <v>34.732027240163916</v>
      </c>
      <c r="IM13" s="25">
        <f t="shared" si="48"/>
        <v>6.0815813933873955</v>
      </c>
      <c r="IN13" s="25">
        <f t="shared" si="49"/>
        <v>45.70521461833417</v>
      </c>
      <c r="IP13" s="30">
        <f>HP13*100/Italia!BR13</f>
        <v>4.956226098185381</v>
      </c>
      <c r="IQ13" s="30">
        <f>HR13*100/Italia!BT13</f>
        <v>8.805387461876961</v>
      </c>
      <c r="IR13" s="30">
        <f>HS13*100/Italia!BU13</f>
        <v>8.971129861726734</v>
      </c>
    </row>
    <row r="14" spans="1:252" ht="12">
      <c r="A14" s="1" t="s">
        <v>14</v>
      </c>
      <c r="B14" s="20">
        <v>20</v>
      </c>
      <c r="C14" s="10">
        <v>34</v>
      </c>
      <c r="D14" s="11">
        <v>700</v>
      </c>
      <c r="E14" s="9"/>
      <c r="F14" s="20">
        <v>34</v>
      </c>
      <c r="G14" s="10">
        <f>H14/F14</f>
        <v>29.41176470588235</v>
      </c>
      <c r="H14" s="11">
        <v>1000</v>
      </c>
      <c r="I14" s="23">
        <f t="shared" si="0"/>
        <v>70</v>
      </c>
      <c r="J14" s="23">
        <f t="shared" si="0"/>
        <v>-13.494809688581313</v>
      </c>
      <c r="K14" s="23">
        <f t="shared" si="0"/>
        <v>42.85714285714286</v>
      </c>
      <c r="L14" s="8"/>
      <c r="M14" s="20">
        <v>13</v>
      </c>
      <c r="N14" s="10">
        <f t="shared" si="1"/>
        <v>30.76923076923077</v>
      </c>
      <c r="O14" s="11">
        <v>400</v>
      </c>
      <c r="P14" s="23">
        <f t="shared" si="2"/>
        <v>-61.76470588235294</v>
      </c>
      <c r="Q14" s="23">
        <f t="shared" si="2"/>
        <v>4.615384615384627</v>
      </c>
      <c r="R14" s="23">
        <f t="shared" si="2"/>
        <v>-60</v>
      </c>
      <c r="S14" s="8"/>
      <c r="T14" s="20">
        <v>15</v>
      </c>
      <c r="U14" s="10">
        <v>30.5</v>
      </c>
      <c r="V14" s="11">
        <v>500</v>
      </c>
      <c r="W14" s="23">
        <f t="shared" si="3"/>
        <v>15.384615384615387</v>
      </c>
      <c r="X14" s="23">
        <f t="shared" si="3"/>
        <v>-0.875</v>
      </c>
      <c r="Y14" s="23">
        <f t="shared" si="3"/>
        <v>25</v>
      </c>
      <c r="Z14" s="8"/>
      <c r="AA14" s="20">
        <v>15</v>
      </c>
      <c r="AB14" s="10">
        <v>31</v>
      </c>
      <c r="AC14" s="11">
        <v>500</v>
      </c>
      <c r="AD14" s="23">
        <f t="shared" si="4"/>
        <v>0</v>
      </c>
      <c r="AE14" s="23">
        <f t="shared" si="4"/>
        <v>1.639344262295083</v>
      </c>
      <c r="AF14" s="23">
        <f t="shared" si="4"/>
        <v>0</v>
      </c>
      <c r="AG14" s="8"/>
      <c r="AH14" s="20">
        <v>20</v>
      </c>
      <c r="AI14" s="10">
        <v>45</v>
      </c>
      <c r="AJ14" s="11">
        <v>900</v>
      </c>
      <c r="AK14" s="23">
        <f t="shared" si="5"/>
        <v>33.33333333333334</v>
      </c>
      <c r="AL14" s="23">
        <f t="shared" si="5"/>
        <v>45.16129032258064</v>
      </c>
      <c r="AM14" s="23">
        <f t="shared" si="5"/>
        <v>80</v>
      </c>
      <c r="AN14" s="8"/>
      <c r="AO14" s="20">
        <v>15</v>
      </c>
      <c r="AP14" s="10">
        <v>45</v>
      </c>
      <c r="AQ14" s="11">
        <v>700</v>
      </c>
      <c r="AR14" s="23">
        <f t="shared" si="6"/>
        <v>-25</v>
      </c>
      <c r="AS14" s="23">
        <f t="shared" si="6"/>
        <v>0</v>
      </c>
      <c r="AT14" s="23">
        <f t="shared" si="6"/>
        <v>-22.22222222222223</v>
      </c>
      <c r="AU14" s="8"/>
      <c r="AV14" s="20">
        <v>10</v>
      </c>
      <c r="AW14" s="10">
        <v>45</v>
      </c>
      <c r="AX14" s="11">
        <v>450</v>
      </c>
      <c r="AY14" s="23">
        <f t="shared" si="7"/>
        <v>-33.33333333333333</v>
      </c>
      <c r="AZ14" s="23">
        <f t="shared" si="7"/>
        <v>0</v>
      </c>
      <c r="BA14" s="23">
        <f t="shared" si="7"/>
        <v>-35.71428571428571</v>
      </c>
      <c r="BB14" s="8"/>
      <c r="BC14" s="20">
        <v>0</v>
      </c>
      <c r="BD14" s="10">
        <v>0</v>
      </c>
      <c r="BE14" s="11">
        <v>0</v>
      </c>
      <c r="BF14" s="23">
        <f t="shared" si="8"/>
        <v>-100</v>
      </c>
      <c r="BG14" s="23">
        <f t="shared" si="8"/>
        <v>-100</v>
      </c>
      <c r="BH14" s="23">
        <f t="shared" si="8"/>
        <v>-100</v>
      </c>
      <c r="BI14" s="8"/>
      <c r="BJ14" s="20">
        <v>0</v>
      </c>
      <c r="BK14" s="10">
        <v>0</v>
      </c>
      <c r="BL14" s="11">
        <v>0</v>
      </c>
      <c r="BM14" s="23" t="e">
        <f t="shared" si="9"/>
        <v>#DIV/0!</v>
      </c>
      <c r="BN14" s="23" t="e">
        <f t="shared" si="9"/>
        <v>#DIV/0!</v>
      </c>
      <c r="BO14" s="23" t="e">
        <f t="shared" si="9"/>
        <v>#DIV/0!</v>
      </c>
      <c r="BP14" s="8"/>
      <c r="BQ14" s="20">
        <v>200</v>
      </c>
      <c r="BR14" s="10">
        <f>BS14/BQ14</f>
        <v>32.4</v>
      </c>
      <c r="BS14" s="11">
        <v>6480</v>
      </c>
      <c r="BT14" s="23" t="e">
        <f t="shared" si="10"/>
        <v>#DIV/0!</v>
      </c>
      <c r="BU14" s="23" t="e">
        <f t="shared" si="10"/>
        <v>#DIV/0!</v>
      </c>
      <c r="BV14" s="23" t="e">
        <f t="shared" si="10"/>
        <v>#DIV/0!</v>
      </c>
      <c r="BW14" s="8"/>
      <c r="BX14" s="20">
        <v>10</v>
      </c>
      <c r="BY14" s="10">
        <v>45</v>
      </c>
      <c r="BZ14" s="11">
        <v>450</v>
      </c>
      <c r="CA14" s="23">
        <f t="shared" si="11"/>
        <v>-95</v>
      </c>
      <c r="CB14" s="23">
        <f t="shared" si="11"/>
        <v>38.888888888888886</v>
      </c>
      <c r="CC14" s="23">
        <f t="shared" si="11"/>
        <v>-93.05555555555556</v>
      </c>
      <c r="CD14" s="8"/>
      <c r="CE14" s="20">
        <v>0</v>
      </c>
      <c r="CF14" s="10">
        <v>0</v>
      </c>
      <c r="CG14" s="11">
        <v>0</v>
      </c>
      <c r="CH14" s="23">
        <f t="shared" si="12"/>
        <v>-100</v>
      </c>
      <c r="CI14" s="23">
        <f t="shared" si="12"/>
        <v>-100</v>
      </c>
      <c r="CJ14" s="23">
        <f t="shared" si="13"/>
        <v>-100</v>
      </c>
      <c r="CK14" s="8"/>
      <c r="CL14" s="20">
        <v>0</v>
      </c>
      <c r="CM14" s="10">
        <v>0</v>
      </c>
      <c r="CN14" s="11">
        <v>0</v>
      </c>
      <c r="CO14" s="23" t="e">
        <f t="shared" si="14"/>
        <v>#DIV/0!</v>
      </c>
      <c r="CP14" s="23" t="e">
        <f t="shared" si="14"/>
        <v>#DIV/0!</v>
      </c>
      <c r="CQ14" s="23" t="e">
        <f t="shared" si="14"/>
        <v>#DIV/0!</v>
      </c>
      <c r="CR14" s="8"/>
      <c r="CS14" s="20">
        <v>0</v>
      </c>
      <c r="CT14" s="10">
        <v>0</v>
      </c>
      <c r="CU14" s="11">
        <v>0</v>
      </c>
      <c r="CV14" s="23" t="e">
        <f t="shared" si="15"/>
        <v>#DIV/0!</v>
      </c>
      <c r="CW14" s="23" t="e">
        <f t="shared" si="15"/>
        <v>#DIV/0!</v>
      </c>
      <c r="CX14" s="23" t="e">
        <f t="shared" si="15"/>
        <v>#DIV/0!</v>
      </c>
      <c r="CY14" s="8"/>
      <c r="CZ14" s="20">
        <v>0</v>
      </c>
      <c r="DA14" s="10">
        <v>0</v>
      </c>
      <c r="DB14" s="11">
        <v>0</v>
      </c>
      <c r="DC14" s="23" t="e">
        <f t="shared" si="16"/>
        <v>#DIV/0!</v>
      </c>
      <c r="DD14" s="23" t="e">
        <f t="shared" si="16"/>
        <v>#DIV/0!</v>
      </c>
      <c r="DE14" s="23" t="e">
        <f t="shared" si="16"/>
        <v>#DIV/0!</v>
      </c>
      <c r="DF14" s="8"/>
      <c r="DG14" s="20">
        <v>0</v>
      </c>
      <c r="DH14" s="10">
        <v>0</v>
      </c>
      <c r="DI14" s="11">
        <v>0</v>
      </c>
      <c r="DJ14" s="23" t="e">
        <f t="shared" si="17"/>
        <v>#DIV/0!</v>
      </c>
      <c r="DK14" s="23" t="e">
        <f t="shared" si="17"/>
        <v>#DIV/0!</v>
      </c>
      <c r="DL14" s="23" t="e">
        <f t="shared" si="17"/>
        <v>#DIV/0!</v>
      </c>
      <c r="DM14" s="8"/>
      <c r="DN14" s="20" t="s">
        <v>1</v>
      </c>
      <c r="DO14" s="10" t="s">
        <v>1</v>
      </c>
      <c r="DP14" s="11" t="s">
        <v>1</v>
      </c>
      <c r="DQ14" s="23" t="e">
        <f t="shared" si="18"/>
        <v>#DIV/0!</v>
      </c>
      <c r="DR14" s="23" t="e">
        <f t="shared" si="18"/>
        <v>#DIV/0!</v>
      </c>
      <c r="DS14" s="23" t="e">
        <f t="shared" si="18"/>
        <v>#DIV/0!</v>
      </c>
      <c r="DT14" s="8"/>
      <c r="DU14" s="20"/>
      <c r="DV14" s="10"/>
      <c r="DW14" s="11"/>
      <c r="DX14" s="23" t="e">
        <f t="shared" si="19"/>
        <v>#DIV/0!</v>
      </c>
      <c r="DY14" s="23" t="e">
        <f t="shared" si="19"/>
        <v>#DIV/0!</v>
      </c>
      <c r="DZ14" s="23" t="e">
        <f t="shared" si="19"/>
        <v>#DIV/0!</v>
      </c>
      <c r="EA14" s="8"/>
      <c r="EB14" s="20">
        <v>20</v>
      </c>
      <c r="EC14" s="10">
        <v>30</v>
      </c>
      <c r="ED14" s="11">
        <v>600</v>
      </c>
      <c r="EE14" s="23" t="e">
        <f t="shared" si="20"/>
        <v>#DIV/0!</v>
      </c>
      <c r="EF14" s="23" t="e">
        <f t="shared" si="20"/>
        <v>#DIV/0!</v>
      </c>
      <c r="EG14" s="23" t="e">
        <f t="shared" si="20"/>
        <v>#DIV/0!</v>
      </c>
      <c r="EH14" s="8"/>
      <c r="EI14" s="20">
        <v>20</v>
      </c>
      <c r="EJ14" s="10">
        <v>30</v>
      </c>
      <c r="EK14" s="11">
        <v>600</v>
      </c>
      <c r="EL14" s="23">
        <f t="shared" si="21"/>
        <v>0</v>
      </c>
      <c r="EM14" s="23">
        <f t="shared" si="21"/>
        <v>0</v>
      </c>
      <c r="EN14" s="23">
        <f t="shared" si="21"/>
        <v>0</v>
      </c>
      <c r="EO14" s="8"/>
      <c r="EP14" s="20">
        <v>228</v>
      </c>
      <c r="EQ14" s="10">
        <v>31.2</v>
      </c>
      <c r="ER14" s="11">
        <v>7105</v>
      </c>
      <c r="ES14" s="23">
        <f t="shared" si="22"/>
        <v>1040</v>
      </c>
      <c r="ET14" s="23">
        <f t="shared" si="22"/>
        <v>4</v>
      </c>
      <c r="EU14" s="23">
        <f t="shared" si="22"/>
        <v>1084.1666666666667</v>
      </c>
      <c r="EV14" s="8"/>
      <c r="EW14" s="20">
        <v>238</v>
      </c>
      <c r="EX14" s="10">
        <f t="shared" si="23"/>
        <v>29.180672268907564</v>
      </c>
      <c r="EY14" s="11">
        <v>6945</v>
      </c>
      <c r="EZ14" s="11">
        <v>6645</v>
      </c>
      <c r="FA14" s="23">
        <f t="shared" si="24"/>
        <v>4.3859649122806985</v>
      </c>
      <c r="FB14" s="23">
        <f t="shared" si="24"/>
        <v>-6.47220426632191</v>
      </c>
      <c r="FC14" s="23">
        <f t="shared" si="25"/>
        <v>-6.474313863476425</v>
      </c>
      <c r="FD14" s="8"/>
      <c r="FE14" s="20">
        <v>481</v>
      </c>
      <c r="FF14" s="10">
        <f t="shared" si="50"/>
        <v>30.145530145530145</v>
      </c>
      <c r="FG14" s="11">
        <v>14500</v>
      </c>
      <c r="FH14" s="11">
        <v>14500</v>
      </c>
      <c r="FI14" s="23">
        <f t="shared" si="26"/>
        <v>102.10084033613447</v>
      </c>
      <c r="FJ14" s="23">
        <f t="shared" si="27"/>
        <v>3.306496395049308</v>
      </c>
      <c r="FK14" s="23">
        <f t="shared" si="27"/>
        <v>108.78329733621311</v>
      </c>
      <c r="FL14" s="23">
        <f t="shared" si="28"/>
        <v>118.20917983446199</v>
      </c>
      <c r="FM14" s="23"/>
      <c r="FN14" s="20">
        <v>425</v>
      </c>
      <c r="FO14" s="10">
        <f t="shared" si="51"/>
        <v>26.894117647058824</v>
      </c>
      <c r="FP14" s="11">
        <v>11430</v>
      </c>
      <c r="FQ14" s="11">
        <v>11430</v>
      </c>
      <c r="FR14" s="23">
        <f t="shared" si="52"/>
        <v>-11.642411642411645</v>
      </c>
      <c r="FS14" s="23">
        <f t="shared" si="52"/>
        <v>-10.785720081135892</v>
      </c>
      <c r="FT14" s="23">
        <f t="shared" si="53"/>
        <v>-21.172413793103445</v>
      </c>
      <c r="FU14" s="23">
        <f t="shared" si="53"/>
        <v>-21.172413793103445</v>
      </c>
      <c r="FV14" s="23"/>
      <c r="FW14" s="20">
        <v>272</v>
      </c>
      <c r="FX14" s="10">
        <f t="shared" si="29"/>
        <v>24.91176470588235</v>
      </c>
      <c r="FY14" s="20">
        <v>6776</v>
      </c>
      <c r="FZ14" s="20">
        <v>6776</v>
      </c>
      <c r="GA14" s="23">
        <f t="shared" si="54"/>
        <v>-36</v>
      </c>
      <c r="GB14" s="23">
        <f t="shared" si="54"/>
        <v>-7.370953630796151</v>
      </c>
      <c r="GC14" s="23">
        <f t="shared" si="54"/>
        <v>-40.71741032370954</v>
      </c>
      <c r="GD14" s="23">
        <f t="shared" si="54"/>
        <v>-40.71741032370954</v>
      </c>
      <c r="GE14" s="23"/>
      <c r="GF14" s="20">
        <v>258</v>
      </c>
      <c r="GG14" s="10">
        <f t="shared" si="30"/>
        <v>31.2984496124031</v>
      </c>
      <c r="GH14" s="20">
        <v>8075</v>
      </c>
      <c r="GI14" s="20">
        <v>8075</v>
      </c>
      <c r="GJ14" s="23">
        <f t="shared" si="55"/>
        <v>-5.147058823529406</v>
      </c>
      <c r="GK14" s="23">
        <f t="shared" si="56"/>
        <v>25.637223945892032</v>
      </c>
      <c r="GL14" s="23">
        <f t="shared" si="57"/>
        <v>19.17060212514758</v>
      </c>
      <c r="GM14" s="23">
        <f t="shared" si="57"/>
        <v>19.17060212514758</v>
      </c>
      <c r="GN14" s="23"/>
      <c r="GO14" s="20">
        <v>366</v>
      </c>
      <c r="GP14" s="10">
        <f t="shared" si="31"/>
        <v>38.387978142076506</v>
      </c>
      <c r="GQ14" s="20">
        <v>14050</v>
      </c>
      <c r="GR14" s="20">
        <v>14050</v>
      </c>
      <c r="GS14" s="23">
        <f t="shared" si="58"/>
        <v>41.86046511627907</v>
      </c>
      <c r="GT14" s="23">
        <f t="shared" si="58"/>
        <v>22.651372887377562</v>
      </c>
      <c r="GU14" s="23">
        <f t="shared" si="59"/>
        <v>73.9938080495356</v>
      </c>
      <c r="GV14" s="23">
        <f t="shared" si="60"/>
        <v>73.9938080495356</v>
      </c>
      <c r="GW14" s="23"/>
      <c r="GX14" s="20">
        <v>576</v>
      </c>
      <c r="GY14" s="10">
        <f t="shared" si="32"/>
        <v>29.875</v>
      </c>
      <c r="GZ14" s="20">
        <v>17208</v>
      </c>
      <c r="HA14" s="20">
        <v>17208</v>
      </c>
      <c r="HB14" s="23">
        <f t="shared" si="61"/>
        <v>57.37704918032787</v>
      </c>
      <c r="HC14" s="23">
        <f t="shared" si="61"/>
        <v>-22.176156583629904</v>
      </c>
      <c r="HD14" s="23">
        <f t="shared" si="62"/>
        <v>22.47686832740213</v>
      </c>
      <c r="HE14" s="23">
        <f t="shared" si="63"/>
        <v>22.47686832740213</v>
      </c>
      <c r="HF14" s="23"/>
      <c r="HG14" s="20">
        <v>651</v>
      </c>
      <c r="HH14" s="10">
        <f t="shared" si="33"/>
        <v>30.8110599078341</v>
      </c>
      <c r="HI14" s="20">
        <v>20058</v>
      </c>
      <c r="HJ14" s="20">
        <v>20058</v>
      </c>
      <c r="HK14" s="23">
        <f t="shared" si="34"/>
        <v>13.020833333333329</v>
      </c>
      <c r="HL14" s="23">
        <f t="shared" si="34"/>
        <v>3.13325492162042</v>
      </c>
      <c r="HM14" s="23">
        <f t="shared" si="34"/>
        <v>16.562064156206418</v>
      </c>
      <c r="HN14" s="23">
        <f t="shared" si="34"/>
        <v>16.562064156206418</v>
      </c>
      <c r="HO14" s="23"/>
      <c r="HP14" s="20">
        <v>730</v>
      </c>
      <c r="HQ14" s="10">
        <f t="shared" si="35"/>
        <v>35.93013698630137</v>
      </c>
      <c r="HR14" s="20">
        <v>26229</v>
      </c>
      <c r="HS14" s="20">
        <v>26229</v>
      </c>
      <c r="HT14" s="23">
        <f t="shared" si="36"/>
        <v>12.135176651305684</v>
      </c>
      <c r="HU14" s="23">
        <f t="shared" si="37"/>
        <v>16.614414089551275</v>
      </c>
      <c r="HV14" s="23">
        <f t="shared" si="38"/>
        <v>30.765779240203415</v>
      </c>
      <c r="HW14" s="23">
        <f t="shared" si="38"/>
        <v>30.765779240203415</v>
      </c>
      <c r="HX14" s="23"/>
      <c r="HY14" s="20">
        <v>453</v>
      </c>
      <c r="HZ14" s="10">
        <f t="shared" si="39"/>
        <v>39.71523178807947</v>
      </c>
      <c r="IA14" s="20">
        <v>17991</v>
      </c>
      <c r="IB14" s="20">
        <v>17991</v>
      </c>
      <c r="IC14" s="23">
        <f t="shared" si="40"/>
        <v>-37.945205479452056</v>
      </c>
      <c r="ID14" s="23">
        <f t="shared" si="41"/>
        <v>10.53459607799769</v>
      </c>
      <c r="IE14" s="23">
        <f t="shared" si="42"/>
        <v>-31.40798352968089</v>
      </c>
      <c r="IF14" s="23">
        <f t="shared" si="43"/>
        <v>-31.40798352968089</v>
      </c>
      <c r="IG14" s="23"/>
      <c r="IH14" s="1" t="s">
        <v>14</v>
      </c>
      <c r="II14" s="29">
        <f t="shared" si="44"/>
        <v>351.5</v>
      </c>
      <c r="IJ14" s="30">
        <f t="shared" si="45"/>
        <v>30.270457242969258</v>
      </c>
      <c r="IK14" s="29">
        <f t="shared" si="46"/>
        <v>10644.7</v>
      </c>
      <c r="IL14" s="25">
        <f t="shared" si="47"/>
        <v>107.68136557610242</v>
      </c>
      <c r="IM14" s="25">
        <f t="shared" si="48"/>
        <v>18.69704080749112</v>
      </c>
      <c r="IN14" s="25">
        <f t="shared" si="49"/>
        <v>146.40431388390465</v>
      </c>
      <c r="IP14" s="30">
        <f>HP14*100/Italia!BR14</f>
        <v>17.74860199367858</v>
      </c>
      <c r="IQ14" s="30">
        <f>HR14*100/Italia!BT14</f>
        <v>19.69099795049661</v>
      </c>
      <c r="IR14" s="30">
        <f>HS14*100/Italia!BU14</f>
        <v>19.89668198989577</v>
      </c>
    </row>
    <row r="15" spans="1:252" ht="12">
      <c r="A15" s="1" t="s">
        <v>15</v>
      </c>
      <c r="B15" s="20">
        <v>47500</v>
      </c>
      <c r="C15" s="10">
        <v>47</v>
      </c>
      <c r="D15" s="11">
        <v>2219600</v>
      </c>
      <c r="E15" s="9"/>
      <c r="F15" s="20">
        <v>43200</v>
      </c>
      <c r="G15" s="10">
        <f>1882780/F15</f>
        <v>43.58287037037037</v>
      </c>
      <c r="H15" s="11">
        <v>1875800</v>
      </c>
      <c r="I15" s="23">
        <f t="shared" si="0"/>
        <v>-9.05263157894737</v>
      </c>
      <c r="J15" s="23">
        <f t="shared" si="0"/>
        <v>-7.270488573680055</v>
      </c>
      <c r="K15" s="23">
        <f t="shared" si="0"/>
        <v>-15.489277347269777</v>
      </c>
      <c r="L15" s="8"/>
      <c r="M15" s="20">
        <v>37700</v>
      </c>
      <c r="N15" s="10">
        <f t="shared" si="1"/>
        <v>53.80901856763926</v>
      </c>
      <c r="O15" s="11">
        <v>2028600</v>
      </c>
      <c r="P15" s="23">
        <f t="shared" si="2"/>
        <v>-12.731481481481481</v>
      </c>
      <c r="Q15" s="23">
        <f t="shared" si="2"/>
        <v>23.46368678879189</v>
      </c>
      <c r="R15" s="23">
        <f t="shared" si="2"/>
        <v>8.145857767352595</v>
      </c>
      <c r="S15" s="8"/>
      <c r="T15" s="20">
        <v>40150</v>
      </c>
      <c r="U15" s="10">
        <f>1835210/T15</f>
        <v>45.70884184308842</v>
      </c>
      <c r="V15" s="11">
        <v>1822700</v>
      </c>
      <c r="W15" s="23">
        <f t="shared" si="3"/>
        <v>6.49867374005305</v>
      </c>
      <c r="X15" s="23">
        <f t="shared" si="3"/>
        <v>-15.053567116019252</v>
      </c>
      <c r="Y15" s="23">
        <f t="shared" si="3"/>
        <v>-10.14985704426698</v>
      </c>
      <c r="Z15" s="8"/>
      <c r="AA15" s="20">
        <v>36525</v>
      </c>
      <c r="AB15" s="10">
        <f>1724660/AA15</f>
        <v>47.218617385352495</v>
      </c>
      <c r="AC15" s="11">
        <v>1724600</v>
      </c>
      <c r="AD15" s="23">
        <f t="shared" si="4"/>
        <v>-9.028642590286424</v>
      </c>
      <c r="AE15" s="23">
        <f t="shared" si="4"/>
        <v>3.3030273386643643</v>
      </c>
      <c r="AF15" s="23">
        <f t="shared" si="4"/>
        <v>-5.382125418335434</v>
      </c>
      <c r="AG15" s="8"/>
      <c r="AH15" s="20">
        <v>38400</v>
      </c>
      <c r="AI15" s="10">
        <v>50.7</v>
      </c>
      <c r="AJ15" s="11">
        <v>1938800</v>
      </c>
      <c r="AK15" s="23">
        <f t="shared" si="5"/>
        <v>5.133470225872685</v>
      </c>
      <c r="AL15" s="23">
        <f t="shared" si="5"/>
        <v>7.372902485127511</v>
      </c>
      <c r="AM15" s="23">
        <f t="shared" si="5"/>
        <v>12.420271367273571</v>
      </c>
      <c r="AN15" s="8"/>
      <c r="AO15" s="20">
        <v>37200</v>
      </c>
      <c r="AP15" s="10">
        <v>48.5</v>
      </c>
      <c r="AQ15" s="11">
        <v>1806200</v>
      </c>
      <c r="AR15" s="23">
        <f t="shared" si="6"/>
        <v>-3.125</v>
      </c>
      <c r="AS15" s="23">
        <f t="shared" si="6"/>
        <v>-4.339250493096657</v>
      </c>
      <c r="AT15" s="23">
        <f t="shared" si="6"/>
        <v>-6.839282030121723</v>
      </c>
      <c r="AU15" s="8"/>
      <c r="AV15" s="20">
        <f>35700+100</f>
        <v>35800</v>
      </c>
      <c r="AW15" s="10">
        <f>(1870710+5000)/35800</f>
        <v>52.39413407821229</v>
      </c>
      <c r="AX15" s="11">
        <f>1864710+5000</f>
        <v>1869710</v>
      </c>
      <c r="AY15" s="23">
        <f t="shared" si="7"/>
        <v>-3.7634408602150557</v>
      </c>
      <c r="AZ15" s="23">
        <f t="shared" si="7"/>
        <v>8.02914242930369</v>
      </c>
      <c r="BA15" s="23">
        <f t="shared" si="7"/>
        <v>3.5162219023363974</v>
      </c>
      <c r="BB15" s="8"/>
      <c r="BC15" s="20">
        <v>37150</v>
      </c>
      <c r="BD15" s="10">
        <v>52.6</v>
      </c>
      <c r="BE15" s="11">
        <v>1955800</v>
      </c>
      <c r="BF15" s="23">
        <f t="shared" si="8"/>
        <v>3.7709497206703873</v>
      </c>
      <c r="BG15" s="23">
        <f t="shared" si="8"/>
        <v>0.3929178817621022</v>
      </c>
      <c r="BH15" s="23">
        <f t="shared" si="8"/>
        <v>4.6044573757427685</v>
      </c>
      <c r="BI15" s="8"/>
      <c r="BJ15" s="20">
        <f>470+29650</f>
        <v>30120</v>
      </c>
      <c r="BK15" s="10">
        <f>(1539359+21040)/BJ15</f>
        <v>51.806075697211156</v>
      </c>
      <c r="BL15" s="11">
        <v>1560106</v>
      </c>
      <c r="BM15" s="23">
        <f t="shared" si="9"/>
        <v>-18.92328398384926</v>
      </c>
      <c r="BN15" s="23">
        <f t="shared" si="9"/>
        <v>-1.5093617923742357</v>
      </c>
      <c r="BO15" s="23">
        <f t="shared" si="9"/>
        <v>-20.231823294815428</v>
      </c>
      <c r="BP15" s="8"/>
      <c r="BQ15" s="20">
        <v>33150</v>
      </c>
      <c r="BR15" s="10">
        <v>51.08</v>
      </c>
      <c r="BS15" s="11">
        <v>1680000</v>
      </c>
      <c r="BT15" s="23">
        <f t="shared" si="10"/>
        <v>10.059760956175296</v>
      </c>
      <c r="BU15" s="23">
        <f t="shared" si="10"/>
        <v>-1.4015261481198138</v>
      </c>
      <c r="BV15" s="23">
        <f t="shared" si="10"/>
        <v>7.684990635251708</v>
      </c>
      <c r="BW15" s="8"/>
      <c r="BX15" s="20">
        <v>32878</v>
      </c>
      <c r="BY15" s="10">
        <v>49.7</v>
      </c>
      <c r="BZ15" s="11">
        <v>1629316</v>
      </c>
      <c r="CA15" s="23">
        <f t="shared" si="11"/>
        <v>-0.8205128205128176</v>
      </c>
      <c r="CB15" s="23">
        <f t="shared" si="11"/>
        <v>-2.7016444792482304</v>
      </c>
      <c r="CC15" s="23">
        <f t="shared" si="11"/>
        <v>-3.016904761904769</v>
      </c>
      <c r="CD15" s="8"/>
      <c r="CE15" s="20">
        <v>37250</v>
      </c>
      <c r="CF15" s="10">
        <v>45.6</v>
      </c>
      <c r="CG15" s="11">
        <v>1693967</v>
      </c>
      <c r="CH15" s="23">
        <f t="shared" si="12"/>
        <v>13.297645842204517</v>
      </c>
      <c r="CI15" s="23">
        <f t="shared" si="12"/>
        <v>-8.249496981891355</v>
      </c>
      <c r="CJ15" s="23">
        <f t="shared" si="13"/>
        <v>3.9679841111239256</v>
      </c>
      <c r="CK15" s="8"/>
      <c r="CL15" s="20">
        <f>670+36525</f>
        <v>37195</v>
      </c>
      <c r="CM15" s="10">
        <f>CN15/CL15</f>
        <v>51.829600752789354</v>
      </c>
      <c r="CN15" s="11">
        <v>1927802</v>
      </c>
      <c r="CO15" s="23">
        <f t="shared" si="14"/>
        <v>-0.1476510067114134</v>
      </c>
      <c r="CP15" s="23">
        <f t="shared" si="14"/>
        <v>13.661405159625772</v>
      </c>
      <c r="CQ15" s="23">
        <f t="shared" si="14"/>
        <v>13.803987917119997</v>
      </c>
      <c r="CR15" s="8"/>
      <c r="CS15" s="20">
        <v>35175</v>
      </c>
      <c r="CT15" s="10">
        <v>49.2</v>
      </c>
      <c r="CU15" s="11">
        <v>1728964</v>
      </c>
      <c r="CV15" s="23">
        <f t="shared" si="15"/>
        <v>-5.4308374781556665</v>
      </c>
      <c r="CW15" s="23">
        <f t="shared" si="15"/>
        <v>-5.073550084500383</v>
      </c>
      <c r="CX15" s="23">
        <f t="shared" si="15"/>
        <v>-10.31423351568263</v>
      </c>
      <c r="CY15" s="8"/>
      <c r="CZ15" s="20">
        <v>37890</v>
      </c>
      <c r="DA15" s="10">
        <v>50.3</v>
      </c>
      <c r="DB15" s="11">
        <v>1905010</v>
      </c>
      <c r="DC15" s="23">
        <f t="shared" si="16"/>
        <v>7.718550106609811</v>
      </c>
      <c r="DD15" s="23">
        <f t="shared" si="16"/>
        <v>2.235772357723576</v>
      </c>
      <c r="DE15" s="23">
        <f t="shared" si="16"/>
        <v>10.182166893006453</v>
      </c>
      <c r="DF15" s="8"/>
      <c r="DG15" s="20">
        <v>37540</v>
      </c>
      <c r="DH15" s="10">
        <v>47.8</v>
      </c>
      <c r="DI15" s="11">
        <v>1777084</v>
      </c>
      <c r="DJ15" s="23">
        <f t="shared" si="17"/>
        <v>-0.9237265769332339</v>
      </c>
      <c r="DK15" s="23">
        <f t="shared" si="17"/>
        <v>-4.970178926441349</v>
      </c>
      <c r="DL15" s="23">
        <f t="shared" si="17"/>
        <v>-6.715240339945723</v>
      </c>
      <c r="DM15" s="8"/>
      <c r="DN15" s="20">
        <v>34800</v>
      </c>
      <c r="DO15" s="10">
        <v>47.8</v>
      </c>
      <c r="DP15" s="11">
        <v>1663250</v>
      </c>
      <c r="DQ15" s="23">
        <f t="shared" si="18"/>
        <v>-7.298881193393711</v>
      </c>
      <c r="DR15" s="23">
        <f t="shared" si="18"/>
        <v>0</v>
      </c>
      <c r="DS15" s="23">
        <f t="shared" si="18"/>
        <v>-6.405662309716362</v>
      </c>
      <c r="DT15" s="8"/>
      <c r="DU15" s="20">
        <v>35101</v>
      </c>
      <c r="DV15" s="10">
        <v>44.3</v>
      </c>
      <c r="DW15" s="11">
        <v>1554486</v>
      </c>
      <c r="DX15" s="23">
        <f t="shared" si="19"/>
        <v>0.8649425287356252</v>
      </c>
      <c r="DY15" s="23">
        <f t="shared" si="19"/>
        <v>-7.322175732217573</v>
      </c>
      <c r="DZ15" s="23">
        <f t="shared" si="19"/>
        <v>-6.539245453179021</v>
      </c>
      <c r="EA15" s="8"/>
      <c r="EB15" s="20">
        <v>32480</v>
      </c>
      <c r="EC15" s="10">
        <v>52.3</v>
      </c>
      <c r="ED15" s="11">
        <v>1699280</v>
      </c>
      <c r="EE15" s="23">
        <f t="shared" si="20"/>
        <v>-7.467023731517614</v>
      </c>
      <c r="EF15" s="23">
        <f t="shared" si="20"/>
        <v>18.058690744920995</v>
      </c>
      <c r="EG15" s="23">
        <f t="shared" si="20"/>
        <v>9.314590160348828</v>
      </c>
      <c r="EH15" s="8"/>
      <c r="EI15" s="20">
        <v>33460</v>
      </c>
      <c r="EJ15" s="10">
        <v>51.8</v>
      </c>
      <c r="EK15" s="11">
        <v>1695960</v>
      </c>
      <c r="EL15" s="23">
        <f t="shared" si="21"/>
        <v>3.0172413793103487</v>
      </c>
      <c r="EM15" s="23">
        <f t="shared" si="21"/>
        <v>-0.9560229445506678</v>
      </c>
      <c r="EN15" s="23">
        <f t="shared" si="21"/>
        <v>-0.1953768654959731</v>
      </c>
      <c r="EO15" s="8"/>
      <c r="EP15" s="20">
        <v>36800</v>
      </c>
      <c r="EQ15" s="10">
        <v>51.6</v>
      </c>
      <c r="ER15" s="11">
        <v>1899950</v>
      </c>
      <c r="ES15" s="23">
        <f t="shared" si="22"/>
        <v>9.982068141063962</v>
      </c>
      <c r="ET15" s="23">
        <f t="shared" si="22"/>
        <v>-0.3861003861003809</v>
      </c>
      <c r="EU15" s="23">
        <f t="shared" si="22"/>
        <v>12.027995943300553</v>
      </c>
      <c r="EV15" s="8"/>
      <c r="EW15" s="20">
        <v>35230</v>
      </c>
      <c r="EX15" s="10">
        <f t="shared" si="23"/>
        <v>45.648878796480275</v>
      </c>
      <c r="EY15" s="11">
        <v>1608210</v>
      </c>
      <c r="EZ15" s="11">
        <v>1608210</v>
      </c>
      <c r="FA15" s="23">
        <f t="shared" si="24"/>
        <v>-4.266304347826093</v>
      </c>
      <c r="FB15" s="23">
        <f t="shared" si="24"/>
        <v>-11.533180626976218</v>
      </c>
      <c r="FC15" s="23">
        <f t="shared" si="25"/>
        <v>-15.355140924761173</v>
      </c>
      <c r="FD15" s="8"/>
      <c r="FE15" s="20">
        <v>31030</v>
      </c>
      <c r="FF15" s="10">
        <f t="shared" si="50"/>
        <v>48.52497582984209</v>
      </c>
      <c r="FG15" s="11">
        <v>1505730</v>
      </c>
      <c r="FH15" s="11">
        <v>1505730</v>
      </c>
      <c r="FI15" s="23">
        <f t="shared" si="26"/>
        <v>-11.921657678115238</v>
      </c>
      <c r="FJ15" s="23">
        <f t="shared" si="27"/>
        <v>6.300476833581229</v>
      </c>
      <c r="FK15" s="23">
        <f t="shared" si="27"/>
        <v>-6.372302124722523</v>
      </c>
      <c r="FL15" s="23">
        <f t="shared" si="28"/>
        <v>-6.372302124722523</v>
      </c>
      <c r="FM15" s="23"/>
      <c r="FN15" s="20">
        <v>26427</v>
      </c>
      <c r="FO15" s="10">
        <f t="shared" si="51"/>
        <v>47.52113368903016</v>
      </c>
      <c r="FP15" s="11">
        <v>1255841</v>
      </c>
      <c r="FQ15" s="11">
        <v>1255841</v>
      </c>
      <c r="FR15" s="23">
        <f t="shared" si="52"/>
        <v>-14.834031582339676</v>
      </c>
      <c r="FS15" s="23">
        <f t="shared" si="52"/>
        <v>-2.06871229432862</v>
      </c>
      <c r="FT15" s="23">
        <f t="shared" si="53"/>
        <v>-16.595870441579834</v>
      </c>
      <c r="FU15" s="23">
        <f t="shared" si="53"/>
        <v>-16.595870441579834</v>
      </c>
      <c r="FV15" s="23"/>
      <c r="FW15" s="20">
        <v>21373</v>
      </c>
      <c r="FX15" s="10">
        <f t="shared" si="29"/>
        <v>45.698077013053855</v>
      </c>
      <c r="FY15" s="20">
        <v>976705</v>
      </c>
      <c r="FZ15" s="20">
        <v>968125</v>
      </c>
      <c r="GA15" s="23">
        <f t="shared" si="54"/>
        <v>-19.124380368562456</v>
      </c>
      <c r="GB15" s="23">
        <f t="shared" si="54"/>
        <v>-3.836307205770936</v>
      </c>
      <c r="GC15" s="23">
        <f t="shared" si="54"/>
        <v>-22.227017592195196</v>
      </c>
      <c r="GD15" s="23">
        <f t="shared" si="54"/>
        <v>-22.910225100152005</v>
      </c>
      <c r="GE15" s="23"/>
      <c r="GF15" s="20">
        <v>19492</v>
      </c>
      <c r="GG15" s="10">
        <f t="shared" si="30"/>
        <v>48.250461727888364</v>
      </c>
      <c r="GH15" s="20">
        <v>940498</v>
      </c>
      <c r="GI15" s="20">
        <v>940498</v>
      </c>
      <c r="GJ15" s="23">
        <f t="shared" si="55"/>
        <v>-8.800823468862589</v>
      </c>
      <c r="GK15" s="23">
        <f t="shared" si="56"/>
        <v>5.585321925264836</v>
      </c>
      <c r="GL15" s="23">
        <f t="shared" si="57"/>
        <v>-3.70705586640797</v>
      </c>
      <c r="GM15" s="23">
        <f t="shared" si="57"/>
        <v>-2.8536604260813476</v>
      </c>
      <c r="GN15" s="23"/>
      <c r="GO15" s="20">
        <v>20842</v>
      </c>
      <c r="GP15" s="10">
        <f t="shared" si="31"/>
        <v>54.24743306784378</v>
      </c>
      <c r="GQ15" s="20">
        <v>1130625</v>
      </c>
      <c r="GR15" s="20">
        <v>1130625</v>
      </c>
      <c r="GS15" s="23">
        <f t="shared" si="58"/>
        <v>6.925918325466853</v>
      </c>
      <c r="GT15" s="23">
        <f t="shared" si="58"/>
        <v>12.428837207353013</v>
      </c>
      <c r="GU15" s="23">
        <f t="shared" si="59"/>
        <v>20.215566646606376</v>
      </c>
      <c r="GV15" s="23">
        <f t="shared" si="60"/>
        <v>20.215566646606376</v>
      </c>
      <c r="GW15" s="23"/>
      <c r="GX15" s="20">
        <v>20602</v>
      </c>
      <c r="GY15" s="10">
        <f t="shared" si="32"/>
        <v>51.856615862537616</v>
      </c>
      <c r="GZ15" s="20">
        <v>1068350</v>
      </c>
      <c r="HA15" s="20">
        <v>1068350</v>
      </c>
      <c r="HB15" s="23">
        <f t="shared" si="61"/>
        <v>-1.1515209672776194</v>
      </c>
      <c r="HC15" s="23">
        <f t="shared" si="61"/>
        <v>-4.4072448595238</v>
      </c>
      <c r="HD15" s="23">
        <f t="shared" si="62"/>
        <v>-5.508015478164737</v>
      </c>
      <c r="HE15" s="23">
        <f t="shared" si="63"/>
        <v>-5.508015478164737</v>
      </c>
      <c r="HF15" s="23"/>
      <c r="HG15" s="20">
        <v>20463</v>
      </c>
      <c r="HH15" s="10">
        <f t="shared" si="33"/>
        <v>52.181693788789524</v>
      </c>
      <c r="HI15" s="20">
        <v>1067794</v>
      </c>
      <c r="HJ15" s="20">
        <v>1063090</v>
      </c>
      <c r="HK15" s="23">
        <f t="shared" si="34"/>
        <v>-0.6746917774973298</v>
      </c>
      <c r="HL15" s="23">
        <f t="shared" si="34"/>
        <v>0.6268784047027509</v>
      </c>
      <c r="HM15" s="23">
        <f t="shared" si="34"/>
        <v>-0.05204286984601936</v>
      </c>
      <c r="HN15" s="23">
        <f t="shared" si="34"/>
        <v>-0.4923480132915188</v>
      </c>
      <c r="HO15" s="23"/>
      <c r="HP15" s="20">
        <v>21049</v>
      </c>
      <c r="HQ15" s="10">
        <f t="shared" si="35"/>
        <v>53.86094351275595</v>
      </c>
      <c r="HR15" s="20">
        <v>1133719</v>
      </c>
      <c r="HS15" s="20">
        <v>1133719</v>
      </c>
      <c r="HT15" s="23">
        <f t="shared" si="36"/>
        <v>2.86370522406294</v>
      </c>
      <c r="HU15" s="23">
        <f t="shared" si="37"/>
        <v>3.218082055295767</v>
      </c>
      <c r="HV15" s="23">
        <f t="shared" si="38"/>
        <v>6.173943663290856</v>
      </c>
      <c r="HW15" s="23">
        <f t="shared" si="38"/>
        <v>6.64374606101083</v>
      </c>
      <c r="HX15" s="23"/>
      <c r="HY15" s="20">
        <v>20579</v>
      </c>
      <c r="HZ15" s="10">
        <f t="shared" si="39"/>
        <v>58.37771514650858</v>
      </c>
      <c r="IA15" s="20">
        <v>1201355</v>
      </c>
      <c r="IB15" s="20">
        <v>1201355</v>
      </c>
      <c r="IC15" s="23">
        <f t="shared" si="40"/>
        <v>-2.232885172692292</v>
      </c>
      <c r="ID15" s="23">
        <f t="shared" si="41"/>
        <v>8.385986837907723</v>
      </c>
      <c r="IE15" s="23">
        <f t="shared" si="42"/>
        <v>5.965852208527863</v>
      </c>
      <c r="IF15" s="23">
        <f t="shared" si="43"/>
        <v>5.965852208527863</v>
      </c>
      <c r="IG15" s="23"/>
      <c r="IH15" s="1" t="s">
        <v>15</v>
      </c>
      <c r="II15" s="29">
        <f t="shared" si="44"/>
        <v>26571.9</v>
      </c>
      <c r="IJ15" s="30">
        <f t="shared" si="45"/>
        <v>49.73292697754657</v>
      </c>
      <c r="IK15" s="29">
        <f t="shared" si="46"/>
        <v>1313637.9</v>
      </c>
      <c r="IL15" s="25">
        <f t="shared" si="47"/>
        <v>-20.7847387653875</v>
      </c>
      <c r="IM15" s="25">
        <f t="shared" si="48"/>
        <v>8.300369164021049</v>
      </c>
      <c r="IN15" s="25">
        <f t="shared" si="49"/>
        <v>-13.696232424475568</v>
      </c>
      <c r="IP15" s="30">
        <f>HP15*100/Italia!BR15</f>
        <v>8.6658844356615</v>
      </c>
      <c r="IQ15" s="30">
        <f>HR15*100/Italia!BT15</f>
        <v>11.734516018582806</v>
      </c>
      <c r="IR15" s="30">
        <f>HS15*100/Italia!BU15</f>
        <v>11.869778659611717</v>
      </c>
    </row>
    <row r="16" spans="1:252" ht="12">
      <c r="A16" s="1" t="s">
        <v>16</v>
      </c>
      <c r="B16" s="20">
        <v>960</v>
      </c>
      <c r="C16" s="10">
        <v>29.7</v>
      </c>
      <c r="D16" s="11">
        <v>28500</v>
      </c>
      <c r="E16" s="9"/>
      <c r="F16" s="20">
        <v>1120</v>
      </c>
      <c r="G16" s="10">
        <f>H16/F16</f>
        <v>29.910714285714285</v>
      </c>
      <c r="H16" s="11">
        <v>33500</v>
      </c>
      <c r="I16" s="23">
        <f t="shared" si="0"/>
        <v>16.66666666666667</v>
      </c>
      <c r="J16" s="23">
        <f t="shared" si="0"/>
        <v>0.7094757094757114</v>
      </c>
      <c r="K16" s="23">
        <f t="shared" si="0"/>
        <v>17.54385964912281</v>
      </c>
      <c r="L16" s="8"/>
      <c r="M16" s="20">
        <v>1172</v>
      </c>
      <c r="N16" s="10">
        <f t="shared" si="1"/>
        <v>31.14334470989761</v>
      </c>
      <c r="O16" s="11">
        <v>36500</v>
      </c>
      <c r="P16" s="23">
        <f t="shared" si="2"/>
        <v>4.642857142857139</v>
      </c>
      <c r="Q16" s="23">
        <f t="shared" si="2"/>
        <v>4.12103305995619</v>
      </c>
      <c r="R16" s="23">
        <f t="shared" si="2"/>
        <v>8.955223880597018</v>
      </c>
      <c r="S16" s="8"/>
      <c r="T16" s="20">
        <v>1132</v>
      </c>
      <c r="U16" s="10">
        <v>28.1</v>
      </c>
      <c r="V16" s="11">
        <v>31800</v>
      </c>
      <c r="W16" s="23">
        <f t="shared" si="3"/>
        <v>-3.4129692832764533</v>
      </c>
      <c r="X16" s="23">
        <f t="shared" si="3"/>
        <v>-9.772054794520557</v>
      </c>
      <c r="Y16" s="23">
        <f t="shared" si="3"/>
        <v>-12.876712328767127</v>
      </c>
      <c r="Z16" s="8"/>
      <c r="AA16" s="20">
        <v>1065</v>
      </c>
      <c r="AB16" s="10">
        <v>26.5</v>
      </c>
      <c r="AC16" s="11">
        <v>28200</v>
      </c>
      <c r="AD16" s="23">
        <f t="shared" si="4"/>
        <v>-5.918727915194353</v>
      </c>
      <c r="AE16" s="23">
        <f t="shared" si="4"/>
        <v>-5.693950177935946</v>
      </c>
      <c r="AF16" s="23">
        <f t="shared" si="4"/>
        <v>-11.320754716981128</v>
      </c>
      <c r="AG16" s="8"/>
      <c r="AH16" s="20">
        <v>1000</v>
      </c>
      <c r="AI16" s="10">
        <v>29.1</v>
      </c>
      <c r="AJ16" s="11">
        <v>29100</v>
      </c>
      <c r="AK16" s="23">
        <f t="shared" si="5"/>
        <v>-6.103286384976528</v>
      </c>
      <c r="AL16" s="23">
        <f t="shared" si="5"/>
        <v>9.811320754716988</v>
      </c>
      <c r="AM16" s="23">
        <f t="shared" si="5"/>
        <v>3.191489361702125</v>
      </c>
      <c r="AN16" s="8"/>
      <c r="AO16" s="20">
        <v>955</v>
      </c>
      <c r="AP16" s="10">
        <f>AQ16/AO16</f>
        <v>28.691099476439792</v>
      </c>
      <c r="AQ16" s="11">
        <v>27400</v>
      </c>
      <c r="AR16" s="23">
        <f t="shared" si="6"/>
        <v>-4.5</v>
      </c>
      <c r="AS16" s="23">
        <f t="shared" si="6"/>
        <v>-1.4051564383512414</v>
      </c>
      <c r="AT16" s="23">
        <f t="shared" si="6"/>
        <v>-5.841924398625423</v>
      </c>
      <c r="AU16" s="8"/>
      <c r="AV16" s="20">
        <v>275</v>
      </c>
      <c r="AW16" s="10">
        <v>32.6</v>
      </c>
      <c r="AX16" s="11">
        <v>8955</v>
      </c>
      <c r="AY16" s="23">
        <f t="shared" si="7"/>
        <v>-71.20418848167539</v>
      </c>
      <c r="AZ16" s="23">
        <f t="shared" si="7"/>
        <v>13.624087591240865</v>
      </c>
      <c r="BA16" s="23">
        <f t="shared" si="7"/>
        <v>-67.31751824817519</v>
      </c>
      <c r="BB16" s="8"/>
      <c r="BC16" s="20">
        <v>315</v>
      </c>
      <c r="BD16" s="10">
        <v>30.3</v>
      </c>
      <c r="BE16" s="11">
        <v>9535</v>
      </c>
      <c r="BF16" s="23">
        <f t="shared" si="8"/>
        <v>14.545454545454547</v>
      </c>
      <c r="BG16" s="23">
        <f t="shared" si="8"/>
        <v>-7.055214723926383</v>
      </c>
      <c r="BH16" s="23">
        <f t="shared" si="8"/>
        <v>6.476828587381348</v>
      </c>
      <c r="BI16" s="8"/>
      <c r="BJ16" s="20">
        <v>450</v>
      </c>
      <c r="BK16" s="10">
        <v>30.6</v>
      </c>
      <c r="BL16" s="11">
        <v>13770</v>
      </c>
      <c r="BM16" s="23">
        <f t="shared" si="9"/>
        <v>42.85714285714286</v>
      </c>
      <c r="BN16" s="23">
        <f t="shared" si="9"/>
        <v>0.9900990099009874</v>
      </c>
      <c r="BO16" s="23">
        <f t="shared" si="9"/>
        <v>44.415312008390146</v>
      </c>
      <c r="BP16" s="8"/>
      <c r="BQ16" s="20">
        <v>545</v>
      </c>
      <c r="BR16" s="10">
        <f>BS16/BQ16</f>
        <v>31.568807339449542</v>
      </c>
      <c r="BS16" s="11">
        <v>17205</v>
      </c>
      <c r="BT16" s="23">
        <f t="shared" si="10"/>
        <v>21.111111111111114</v>
      </c>
      <c r="BU16" s="23">
        <f t="shared" si="10"/>
        <v>3.1660370570246386</v>
      </c>
      <c r="BV16" s="23">
        <f t="shared" si="10"/>
        <v>24.945533769063175</v>
      </c>
      <c r="BW16" s="8"/>
      <c r="BX16" s="20">
        <v>343</v>
      </c>
      <c r="BY16" s="10">
        <v>31</v>
      </c>
      <c r="BZ16" s="11">
        <v>10568</v>
      </c>
      <c r="CA16" s="23">
        <f t="shared" si="11"/>
        <v>-37.06422018348624</v>
      </c>
      <c r="CB16" s="23">
        <f t="shared" si="11"/>
        <v>-1.8018018018018012</v>
      </c>
      <c r="CC16" s="23">
        <f t="shared" si="11"/>
        <v>-38.5759953501889</v>
      </c>
      <c r="CD16" s="8"/>
      <c r="CE16" s="20">
        <v>652</v>
      </c>
      <c r="CF16" s="10">
        <v>29.8</v>
      </c>
      <c r="CG16" s="11">
        <v>16533</v>
      </c>
      <c r="CH16" s="23">
        <f t="shared" si="12"/>
        <v>90.0874635568513</v>
      </c>
      <c r="CI16" s="23">
        <f t="shared" si="12"/>
        <v>-3.8709677419354875</v>
      </c>
      <c r="CJ16" s="23">
        <f t="shared" si="13"/>
        <v>56.44398183194551</v>
      </c>
      <c r="CK16" s="8"/>
      <c r="CL16" s="20">
        <v>465</v>
      </c>
      <c r="CM16" s="10">
        <v>33.1</v>
      </c>
      <c r="CN16" s="11">
        <v>15333</v>
      </c>
      <c r="CO16" s="23">
        <f t="shared" si="14"/>
        <v>-28.68098159509202</v>
      </c>
      <c r="CP16" s="23">
        <f t="shared" si="14"/>
        <v>11.073825503355707</v>
      </c>
      <c r="CQ16" s="23">
        <f t="shared" si="14"/>
        <v>-7.2582108510252255</v>
      </c>
      <c r="CR16" s="8"/>
      <c r="CS16" s="20">
        <v>435</v>
      </c>
      <c r="CT16" s="10">
        <v>32.2</v>
      </c>
      <c r="CU16" s="11">
        <v>14025</v>
      </c>
      <c r="CV16" s="23">
        <f t="shared" si="15"/>
        <v>-6.451612903225808</v>
      </c>
      <c r="CW16" s="23">
        <f t="shared" si="15"/>
        <v>-2.719033232628391</v>
      </c>
      <c r="CX16" s="23">
        <f t="shared" si="15"/>
        <v>-8.53062023087459</v>
      </c>
      <c r="CY16" s="8"/>
      <c r="CZ16" s="20">
        <v>485</v>
      </c>
      <c r="DA16" s="10">
        <v>32.6</v>
      </c>
      <c r="DB16" s="11">
        <v>15815</v>
      </c>
      <c r="DC16" s="23">
        <f t="shared" si="16"/>
        <v>11.494252873563212</v>
      </c>
      <c r="DD16" s="23">
        <f t="shared" si="16"/>
        <v>1.2422360248447148</v>
      </c>
      <c r="DE16" s="23">
        <f t="shared" si="16"/>
        <v>12.762923351158648</v>
      </c>
      <c r="DF16" s="8"/>
      <c r="DG16" s="20">
        <v>390</v>
      </c>
      <c r="DH16" s="10">
        <f>DI16/DG16</f>
        <v>30.435897435897434</v>
      </c>
      <c r="DI16" s="11">
        <v>11870</v>
      </c>
      <c r="DJ16" s="23">
        <f t="shared" si="17"/>
        <v>-19.587628865979383</v>
      </c>
      <c r="DK16" s="23">
        <f t="shared" si="17"/>
        <v>-6.638351423627498</v>
      </c>
      <c r="DL16" s="23">
        <f t="shared" si="17"/>
        <v>-24.944672779007277</v>
      </c>
      <c r="DM16" s="8"/>
      <c r="DN16" s="20">
        <v>683</v>
      </c>
      <c r="DO16" s="10">
        <v>32.1</v>
      </c>
      <c r="DP16" s="11">
        <v>21765</v>
      </c>
      <c r="DQ16" s="23">
        <f t="shared" si="18"/>
        <v>75.12820512820514</v>
      </c>
      <c r="DR16" s="23">
        <f t="shared" si="18"/>
        <v>5.467565290648693</v>
      </c>
      <c r="DS16" s="23">
        <f t="shared" si="18"/>
        <v>83.36141533277168</v>
      </c>
      <c r="DT16" s="8"/>
      <c r="DU16" s="20">
        <v>1625</v>
      </c>
      <c r="DV16" s="10">
        <v>25.6</v>
      </c>
      <c r="DW16" s="11">
        <v>41678</v>
      </c>
      <c r="DX16" s="23">
        <f t="shared" si="19"/>
        <v>137.92093704245974</v>
      </c>
      <c r="DY16" s="23">
        <f t="shared" si="19"/>
        <v>-20.24922118380063</v>
      </c>
      <c r="DZ16" s="23">
        <f t="shared" si="19"/>
        <v>91.49092579830003</v>
      </c>
      <c r="EA16" s="8"/>
      <c r="EB16" s="20">
        <v>1073</v>
      </c>
      <c r="EC16" s="10">
        <v>30.2</v>
      </c>
      <c r="ED16" s="11">
        <v>32439</v>
      </c>
      <c r="EE16" s="23">
        <f t="shared" si="20"/>
        <v>-33.96923076923076</v>
      </c>
      <c r="EF16" s="23">
        <f t="shared" si="20"/>
        <v>17.96875</v>
      </c>
      <c r="EG16" s="23">
        <f t="shared" si="20"/>
        <v>-22.167570420845536</v>
      </c>
      <c r="EH16" s="8"/>
      <c r="EI16" s="20">
        <v>1021</v>
      </c>
      <c r="EJ16" s="10">
        <v>28.7</v>
      </c>
      <c r="EK16" s="11">
        <v>29280</v>
      </c>
      <c r="EL16" s="23">
        <f t="shared" si="21"/>
        <v>-4.846225535880706</v>
      </c>
      <c r="EM16" s="23">
        <f t="shared" si="21"/>
        <v>-4.966887417218544</v>
      </c>
      <c r="EN16" s="23">
        <f t="shared" si="21"/>
        <v>-9.738277998705257</v>
      </c>
      <c r="EO16" s="8"/>
      <c r="EP16" s="20">
        <v>896</v>
      </c>
      <c r="EQ16" s="10">
        <v>30.4</v>
      </c>
      <c r="ER16" s="11">
        <v>27265</v>
      </c>
      <c r="ES16" s="23">
        <f t="shared" si="22"/>
        <v>-12.24289911851126</v>
      </c>
      <c r="ET16" s="23">
        <f t="shared" si="22"/>
        <v>5.923344947735188</v>
      </c>
      <c r="EU16" s="23">
        <f t="shared" si="22"/>
        <v>-6.881830601092901</v>
      </c>
      <c r="EV16" s="8"/>
      <c r="EW16" s="20">
        <v>833</v>
      </c>
      <c r="EX16" s="10">
        <f t="shared" si="23"/>
        <v>31.99639855942377</v>
      </c>
      <c r="EY16" s="11">
        <v>26653</v>
      </c>
      <c r="EZ16" s="11">
        <v>26653</v>
      </c>
      <c r="FA16" s="23">
        <f t="shared" si="24"/>
        <v>-7.03125</v>
      </c>
      <c r="FB16" s="23">
        <f t="shared" si="24"/>
        <v>5.251311050736092</v>
      </c>
      <c r="FC16" s="23">
        <f t="shared" si="25"/>
        <v>-2.2446359801943885</v>
      </c>
      <c r="FD16" s="8"/>
      <c r="FE16" s="20">
        <v>466</v>
      </c>
      <c r="FF16" s="10">
        <f t="shared" si="50"/>
        <v>32.802575107296136</v>
      </c>
      <c r="FG16" s="11">
        <v>15286</v>
      </c>
      <c r="FH16" s="11">
        <v>15286</v>
      </c>
      <c r="FI16" s="23">
        <f t="shared" si="26"/>
        <v>-44.057623049219686</v>
      </c>
      <c r="FJ16" s="23">
        <f t="shared" si="27"/>
        <v>2.519585278871716</v>
      </c>
      <c r="FK16" s="23">
        <f t="shared" si="27"/>
        <v>-42.64810715491689</v>
      </c>
      <c r="FL16" s="23">
        <f t="shared" si="28"/>
        <v>-42.64810715491689</v>
      </c>
      <c r="FM16" s="23"/>
      <c r="FN16" s="20">
        <v>420</v>
      </c>
      <c r="FO16" s="10">
        <f t="shared" si="51"/>
        <v>32.923809523809524</v>
      </c>
      <c r="FP16" s="11">
        <v>13828</v>
      </c>
      <c r="FQ16" s="11">
        <v>13828</v>
      </c>
      <c r="FR16" s="23">
        <f t="shared" si="52"/>
        <v>-9.871244635193136</v>
      </c>
      <c r="FS16" s="23">
        <f t="shared" si="52"/>
        <v>0.36958810738740056</v>
      </c>
      <c r="FT16" s="23">
        <f t="shared" si="53"/>
        <v>-9.538139474028526</v>
      </c>
      <c r="FU16" s="23">
        <f t="shared" si="53"/>
        <v>-9.538139474028526</v>
      </c>
      <c r="FV16" s="23"/>
      <c r="FW16" s="20">
        <v>483</v>
      </c>
      <c r="FX16" s="10">
        <f t="shared" si="29"/>
        <v>34.18012422360248</v>
      </c>
      <c r="FY16" s="20">
        <v>16509</v>
      </c>
      <c r="FZ16" s="20">
        <v>16509</v>
      </c>
      <c r="GA16" s="23">
        <f t="shared" si="54"/>
        <v>15</v>
      </c>
      <c r="GB16" s="23">
        <f t="shared" si="54"/>
        <v>3.815824225578851</v>
      </c>
      <c r="GC16" s="23">
        <f t="shared" si="54"/>
        <v>19.388197859415683</v>
      </c>
      <c r="GD16" s="23">
        <f t="shared" si="54"/>
        <v>19.388197859415683</v>
      </c>
      <c r="GE16" s="23"/>
      <c r="GF16" s="20">
        <v>463</v>
      </c>
      <c r="GG16" s="10">
        <f t="shared" si="30"/>
        <v>33.69762419006479</v>
      </c>
      <c r="GH16" s="20">
        <v>15602</v>
      </c>
      <c r="GI16" s="20">
        <v>15452</v>
      </c>
      <c r="GJ16" s="23">
        <f t="shared" si="55"/>
        <v>-4.140786749482402</v>
      </c>
      <c r="GK16" s="23">
        <f t="shared" si="56"/>
        <v>-1.4116392040626522</v>
      </c>
      <c r="GL16" s="23">
        <f t="shared" si="57"/>
        <v>-5.49397298443273</v>
      </c>
      <c r="GM16" s="23">
        <f t="shared" si="57"/>
        <v>-6.402568296080929</v>
      </c>
      <c r="GN16" s="23"/>
      <c r="GO16" s="20">
        <v>424</v>
      </c>
      <c r="GP16" s="10">
        <f t="shared" si="31"/>
        <v>36.988207547169814</v>
      </c>
      <c r="GQ16" s="20">
        <v>15683</v>
      </c>
      <c r="GR16" s="20">
        <v>15683</v>
      </c>
      <c r="GS16" s="23">
        <f t="shared" si="58"/>
        <v>-8.423326133909285</v>
      </c>
      <c r="GT16" s="23">
        <f t="shared" si="58"/>
        <v>9.765030729006696</v>
      </c>
      <c r="GU16" s="23">
        <f t="shared" si="59"/>
        <v>0.5191642097167062</v>
      </c>
      <c r="GV16" s="23">
        <f t="shared" si="60"/>
        <v>1.4949521097592537</v>
      </c>
      <c r="GW16" s="23"/>
      <c r="GX16" s="20">
        <v>400</v>
      </c>
      <c r="GY16" s="10">
        <f>GZ16/GX16</f>
        <v>36.08</v>
      </c>
      <c r="GZ16" s="20">
        <v>14432</v>
      </c>
      <c r="HA16" s="20">
        <v>14432</v>
      </c>
      <c r="HB16" s="23">
        <f t="shared" si="61"/>
        <v>-5.660377358490564</v>
      </c>
      <c r="HC16" s="23">
        <f t="shared" si="61"/>
        <v>-2.4553975642415367</v>
      </c>
      <c r="HD16" s="23">
        <f>GZ16*100/GQ16-100</f>
        <v>-7.976790154944851</v>
      </c>
      <c r="HE16" s="23">
        <f>HA16*100/GR16-100</f>
        <v>-7.976790154944851</v>
      </c>
      <c r="HF16" s="23"/>
      <c r="HG16" s="20">
        <v>350</v>
      </c>
      <c r="HH16" s="10">
        <f t="shared" si="33"/>
        <v>30.562857142857144</v>
      </c>
      <c r="HI16" s="20">
        <v>10697</v>
      </c>
      <c r="HJ16" s="20">
        <v>10697</v>
      </c>
      <c r="HK16" s="23">
        <f t="shared" si="34"/>
        <v>-12.5</v>
      </c>
      <c r="HL16" s="23">
        <f t="shared" si="34"/>
        <v>-15.291415901172002</v>
      </c>
      <c r="HM16" s="23">
        <f>HI16*100/GZ16-100</f>
        <v>-25.879988913525494</v>
      </c>
      <c r="HN16" s="23">
        <f>HJ16*100/HA16-100</f>
        <v>-25.879988913525494</v>
      </c>
      <c r="HO16" s="23"/>
      <c r="HP16" s="20">
        <v>439</v>
      </c>
      <c r="HQ16" s="10">
        <f t="shared" si="35"/>
        <v>31.343963553530752</v>
      </c>
      <c r="HR16" s="20">
        <v>13760</v>
      </c>
      <c r="HS16" s="20">
        <v>13760</v>
      </c>
      <c r="HT16" s="23">
        <f t="shared" si="36"/>
        <v>25.42857142857143</v>
      </c>
      <c r="HU16" s="23">
        <f t="shared" si="37"/>
        <v>2.5557375314178046</v>
      </c>
      <c r="HV16" s="23">
        <f t="shared" si="38"/>
        <v>28.634196503692635</v>
      </c>
      <c r="HW16" s="23">
        <f t="shared" si="38"/>
        <v>28.634196503692635</v>
      </c>
      <c r="HX16" s="23"/>
      <c r="HY16" s="20">
        <v>383</v>
      </c>
      <c r="HZ16" s="10">
        <f t="shared" si="39"/>
        <v>34.887728459530024</v>
      </c>
      <c r="IA16" s="20">
        <v>13362</v>
      </c>
      <c r="IB16" s="20">
        <v>13362</v>
      </c>
      <c r="IC16" s="23">
        <f t="shared" si="40"/>
        <v>-12.756264236902055</v>
      </c>
      <c r="ID16" s="23">
        <f t="shared" si="41"/>
        <v>11.306052280041285</v>
      </c>
      <c r="IE16" s="23">
        <f t="shared" si="42"/>
        <v>-2.8924418604651123</v>
      </c>
      <c r="IF16" s="23">
        <f t="shared" si="43"/>
        <v>-2.8924418604651123</v>
      </c>
      <c r="IG16" s="23"/>
      <c r="IH16" s="1" t="s">
        <v>16</v>
      </c>
      <c r="II16" s="29">
        <f t="shared" si="44"/>
        <v>575.6</v>
      </c>
      <c r="IJ16" s="30">
        <f t="shared" si="45"/>
        <v>32.83315962942236</v>
      </c>
      <c r="IK16" s="29">
        <f t="shared" si="46"/>
        <v>18508.5</v>
      </c>
      <c r="IL16" s="25">
        <f t="shared" si="47"/>
        <v>-23.731758165392634</v>
      </c>
      <c r="IM16" s="25">
        <f t="shared" si="48"/>
        <v>-4.535646561889564</v>
      </c>
      <c r="IN16" s="25">
        <f t="shared" si="49"/>
        <v>-25.655779776859276</v>
      </c>
      <c r="IP16" s="30">
        <f>HP16*100/Italia!BR16</f>
        <v>0.40291493814016666</v>
      </c>
      <c r="IQ16" s="30">
        <f>HR16*100/Italia!BT16</f>
        <v>0.5198208129302405</v>
      </c>
      <c r="IR16" s="30">
        <f>HS16*100/Italia!BU16</f>
        <v>0.526465207001069</v>
      </c>
    </row>
    <row r="17" spans="1:252" ht="12">
      <c r="A17" s="1" t="s">
        <v>17</v>
      </c>
      <c r="B17" s="20">
        <v>45455</v>
      </c>
      <c r="C17" s="10">
        <v>75.7</v>
      </c>
      <c r="D17" s="11">
        <v>3443600</v>
      </c>
      <c r="E17" s="9"/>
      <c r="F17" s="20">
        <v>45560</v>
      </c>
      <c r="G17" s="10">
        <f>H17/F17</f>
        <v>87.1027216856892</v>
      </c>
      <c r="H17" s="11">
        <v>3968400</v>
      </c>
      <c r="I17" s="23">
        <f t="shared" si="0"/>
        <v>0.2309976900231021</v>
      </c>
      <c r="J17" s="23">
        <f t="shared" si="0"/>
        <v>15.063040535917054</v>
      </c>
      <c r="K17" s="23">
        <f t="shared" si="0"/>
        <v>15.239865257288884</v>
      </c>
      <c r="L17" s="8"/>
      <c r="M17" s="20">
        <v>35030</v>
      </c>
      <c r="N17" s="10">
        <f t="shared" si="1"/>
        <v>81.69568940907793</v>
      </c>
      <c r="O17" s="11">
        <v>2861800</v>
      </c>
      <c r="P17" s="23">
        <f t="shared" si="2"/>
        <v>-23.112379280070243</v>
      </c>
      <c r="Q17" s="23">
        <f t="shared" si="2"/>
        <v>-6.207650199637371</v>
      </c>
      <c r="R17" s="23">
        <f t="shared" si="2"/>
        <v>-27.885293821187375</v>
      </c>
      <c r="S17" s="8"/>
      <c r="T17" s="20">
        <v>43825</v>
      </c>
      <c r="U17" s="10">
        <v>82.7</v>
      </c>
      <c r="V17" s="11">
        <v>3623500</v>
      </c>
      <c r="W17" s="23">
        <f t="shared" si="3"/>
        <v>25.107051099057955</v>
      </c>
      <c r="X17" s="23">
        <f t="shared" si="3"/>
        <v>1.229331190160039</v>
      </c>
      <c r="Y17" s="23">
        <f t="shared" si="3"/>
        <v>26.61611573135788</v>
      </c>
      <c r="Z17" s="8"/>
      <c r="AA17" s="20">
        <v>46260</v>
      </c>
      <c r="AB17" s="10">
        <f>AC17/AA17</f>
        <v>93.49978383052313</v>
      </c>
      <c r="AC17" s="11">
        <v>4325300</v>
      </c>
      <c r="AD17" s="23">
        <f t="shared" si="4"/>
        <v>5.556189389617799</v>
      </c>
      <c r="AE17" s="23">
        <f t="shared" si="4"/>
        <v>13.058988912361684</v>
      </c>
      <c r="AF17" s="23">
        <f t="shared" si="4"/>
        <v>19.368014350765833</v>
      </c>
      <c r="AG17" s="8"/>
      <c r="AH17" s="20">
        <v>50450</v>
      </c>
      <c r="AI17" s="10">
        <v>83.8</v>
      </c>
      <c r="AJ17" s="11">
        <v>4227400</v>
      </c>
      <c r="AK17" s="23">
        <f t="shared" si="5"/>
        <v>9.057501080847388</v>
      </c>
      <c r="AL17" s="23">
        <f t="shared" si="5"/>
        <v>-10.374124338196197</v>
      </c>
      <c r="AM17" s="23">
        <f t="shared" si="5"/>
        <v>-2.2634268143250154</v>
      </c>
      <c r="AN17" s="8"/>
      <c r="AO17" s="20">
        <v>60950</v>
      </c>
      <c r="AP17" s="10">
        <v>75.8</v>
      </c>
      <c r="AQ17" s="11">
        <v>4501600</v>
      </c>
      <c r="AR17" s="23">
        <f t="shared" si="6"/>
        <v>20.81268582755203</v>
      </c>
      <c r="AS17" s="23">
        <f t="shared" si="6"/>
        <v>-9.546539379474936</v>
      </c>
      <c r="AT17" s="23">
        <f t="shared" si="6"/>
        <v>6.486256327766469</v>
      </c>
      <c r="AU17" s="8"/>
      <c r="AV17" s="20">
        <v>64450</v>
      </c>
      <c r="AW17" s="10">
        <v>92.2</v>
      </c>
      <c r="AX17" s="11">
        <v>5842210</v>
      </c>
      <c r="AY17" s="23">
        <f t="shared" si="7"/>
        <v>5.74241181296145</v>
      </c>
      <c r="AZ17" s="23">
        <f t="shared" si="7"/>
        <v>21.635883905013202</v>
      </c>
      <c r="BA17" s="23">
        <f t="shared" si="7"/>
        <v>29.780744624133632</v>
      </c>
      <c r="BB17" s="8"/>
      <c r="BC17" s="20">
        <v>64582</v>
      </c>
      <c r="BD17" s="10">
        <v>91.1</v>
      </c>
      <c r="BE17" s="11">
        <v>5883434</v>
      </c>
      <c r="BF17" s="23">
        <f t="shared" si="8"/>
        <v>0.20480993017842763</v>
      </c>
      <c r="BG17" s="23">
        <f t="shared" si="8"/>
        <v>-1.1930585683297181</v>
      </c>
      <c r="BH17" s="23">
        <f t="shared" si="8"/>
        <v>0.7056233856708332</v>
      </c>
      <c r="BI17" s="8"/>
      <c r="BJ17" s="20">
        <v>56750</v>
      </c>
      <c r="BK17" s="10">
        <v>86.5</v>
      </c>
      <c r="BL17" s="11">
        <v>4850985</v>
      </c>
      <c r="BM17" s="23">
        <f t="shared" si="9"/>
        <v>-12.127218110309371</v>
      </c>
      <c r="BN17" s="23">
        <f t="shared" si="9"/>
        <v>-5.049396267837537</v>
      </c>
      <c r="BO17" s="23">
        <f t="shared" si="9"/>
        <v>-17.548407953586292</v>
      </c>
      <c r="BP17" s="8"/>
      <c r="BQ17" s="20">
        <v>62920</v>
      </c>
      <c r="BR17" s="10">
        <v>95.2</v>
      </c>
      <c r="BS17" s="11">
        <v>5975000</v>
      </c>
      <c r="BT17" s="23">
        <f t="shared" si="10"/>
        <v>10.872246696035248</v>
      </c>
      <c r="BU17" s="23">
        <f t="shared" si="10"/>
        <v>10.057803468208093</v>
      </c>
      <c r="BV17" s="23">
        <f t="shared" si="10"/>
        <v>23.170861175616906</v>
      </c>
      <c r="BW17" s="8"/>
      <c r="BX17" s="20">
        <v>79680</v>
      </c>
      <c r="BY17" s="10">
        <v>89.1</v>
      </c>
      <c r="BZ17" s="11">
        <v>6836794</v>
      </c>
      <c r="CA17" s="23">
        <f t="shared" si="11"/>
        <v>26.636999364272086</v>
      </c>
      <c r="CB17" s="23">
        <f t="shared" si="11"/>
        <v>-6.407563025210081</v>
      </c>
      <c r="CC17" s="23">
        <f t="shared" si="11"/>
        <v>14.423330543933048</v>
      </c>
      <c r="CD17" s="8"/>
      <c r="CE17" s="20">
        <v>82211</v>
      </c>
      <c r="CF17" s="10">
        <v>93.7</v>
      </c>
      <c r="CG17" s="11">
        <v>7220205</v>
      </c>
      <c r="CH17" s="23">
        <f t="shared" si="12"/>
        <v>3.1764558232931677</v>
      </c>
      <c r="CI17" s="23">
        <f t="shared" si="12"/>
        <v>5.162738496071839</v>
      </c>
      <c r="CJ17" s="23">
        <f t="shared" si="13"/>
        <v>5.608052546266563</v>
      </c>
      <c r="CK17" s="8"/>
      <c r="CL17" s="20">
        <v>69030</v>
      </c>
      <c r="CM17" s="10">
        <v>90.2</v>
      </c>
      <c r="CN17" s="11">
        <v>6195518</v>
      </c>
      <c r="CO17" s="23">
        <f t="shared" si="14"/>
        <v>-16.033134252107388</v>
      </c>
      <c r="CP17" s="23">
        <f t="shared" si="14"/>
        <v>-3.7353255069370306</v>
      </c>
      <c r="CQ17" s="23">
        <f t="shared" si="14"/>
        <v>-14.191937763539954</v>
      </c>
      <c r="CR17" s="8"/>
      <c r="CS17" s="20">
        <v>84492</v>
      </c>
      <c r="CT17" s="10">
        <v>94.2</v>
      </c>
      <c r="CU17" s="11">
        <v>7962603</v>
      </c>
      <c r="CV17" s="23">
        <f t="shared" si="15"/>
        <v>22.39895697522816</v>
      </c>
      <c r="CW17" s="23">
        <f t="shared" si="15"/>
        <v>4.434589800443462</v>
      </c>
      <c r="CX17" s="23">
        <f t="shared" si="15"/>
        <v>28.521989606034566</v>
      </c>
      <c r="CY17" s="8"/>
      <c r="CZ17" s="20">
        <v>101905</v>
      </c>
      <c r="DA17" s="10">
        <v>97.6</v>
      </c>
      <c r="DB17" s="11">
        <v>9947251</v>
      </c>
      <c r="DC17" s="23">
        <f t="shared" si="16"/>
        <v>20.609051744543862</v>
      </c>
      <c r="DD17" s="23">
        <f t="shared" si="16"/>
        <v>3.6093418259023338</v>
      </c>
      <c r="DE17" s="23">
        <f t="shared" si="16"/>
        <v>24.924613220073894</v>
      </c>
      <c r="DF17" s="8"/>
      <c r="DG17" s="20">
        <v>108120</v>
      </c>
      <c r="DH17" s="10">
        <f>DI17/DG17</f>
        <v>95.02968923418425</v>
      </c>
      <c r="DI17" s="11">
        <v>10274610</v>
      </c>
      <c r="DJ17" s="23">
        <f t="shared" si="17"/>
        <v>6.098817526127277</v>
      </c>
      <c r="DK17" s="23">
        <f t="shared" si="17"/>
        <v>-2.633515128909579</v>
      </c>
      <c r="DL17" s="23">
        <f t="shared" si="17"/>
        <v>3.2909494291437937</v>
      </c>
      <c r="DM17" s="8"/>
      <c r="DN17" s="20">
        <v>108965</v>
      </c>
      <c r="DO17" s="10">
        <v>93.9</v>
      </c>
      <c r="DP17" s="11">
        <v>10234285</v>
      </c>
      <c r="DQ17" s="23">
        <f t="shared" si="18"/>
        <v>0.7815390307066252</v>
      </c>
      <c r="DR17" s="23">
        <f t="shared" si="18"/>
        <v>-1.1887750483960104</v>
      </c>
      <c r="DS17" s="23">
        <f t="shared" si="18"/>
        <v>-0.3924723176840814</v>
      </c>
      <c r="DT17" s="8"/>
      <c r="DU17" s="20">
        <v>139960</v>
      </c>
      <c r="DV17" s="10">
        <v>76</v>
      </c>
      <c r="DW17" s="11">
        <v>10586409</v>
      </c>
      <c r="DX17" s="23">
        <f t="shared" si="19"/>
        <v>28.444913504336256</v>
      </c>
      <c r="DY17" s="23">
        <f t="shared" si="19"/>
        <v>-19.06283280085198</v>
      </c>
      <c r="DZ17" s="23">
        <f t="shared" si="19"/>
        <v>3.4406311725733616</v>
      </c>
      <c r="EA17" s="8"/>
      <c r="EB17" s="20">
        <v>141490</v>
      </c>
      <c r="EC17" s="10">
        <v>93.6</v>
      </c>
      <c r="ED17" s="11">
        <v>13242495</v>
      </c>
      <c r="EE17" s="23">
        <f t="shared" si="20"/>
        <v>1.093169476993424</v>
      </c>
      <c r="EF17" s="23">
        <f t="shared" si="20"/>
        <v>23.15789473684211</v>
      </c>
      <c r="EG17" s="23">
        <f t="shared" si="20"/>
        <v>25.089584201781733</v>
      </c>
      <c r="EH17" s="8"/>
      <c r="EI17" s="20">
        <v>112006</v>
      </c>
      <c r="EJ17" s="10">
        <v>86.2</v>
      </c>
      <c r="EK17" s="11">
        <v>9657890</v>
      </c>
      <c r="EL17" s="23">
        <f t="shared" si="21"/>
        <v>-20.83822178245812</v>
      </c>
      <c r="EM17" s="23">
        <f t="shared" si="21"/>
        <v>-7.905982905982896</v>
      </c>
      <c r="EN17" s="23">
        <f t="shared" si="21"/>
        <v>-27.06895490615628</v>
      </c>
      <c r="EO17" s="8"/>
      <c r="EP17" s="20">
        <v>112515</v>
      </c>
      <c r="EQ17" s="10">
        <v>80.6</v>
      </c>
      <c r="ER17" s="11">
        <v>9065985</v>
      </c>
      <c r="ES17" s="23">
        <f t="shared" si="22"/>
        <v>0.45443994071746374</v>
      </c>
      <c r="ET17" s="23">
        <f t="shared" si="22"/>
        <v>-6.496519721577741</v>
      </c>
      <c r="EU17" s="23">
        <f t="shared" si="22"/>
        <v>-6.128719627164941</v>
      </c>
      <c r="EV17" s="8"/>
      <c r="EW17" s="20">
        <v>104025</v>
      </c>
      <c r="EX17" s="10">
        <f t="shared" si="23"/>
        <v>85.12578707041577</v>
      </c>
      <c r="EY17" s="11">
        <v>8855210</v>
      </c>
      <c r="EZ17" s="11">
        <v>8854383</v>
      </c>
      <c r="FA17" s="23">
        <f t="shared" si="24"/>
        <v>-7.545660578589519</v>
      </c>
      <c r="FB17" s="23">
        <f t="shared" si="24"/>
        <v>5.615120434759035</v>
      </c>
      <c r="FC17" s="23">
        <f t="shared" si="25"/>
        <v>-2.33402106886345</v>
      </c>
      <c r="FD17" s="8"/>
      <c r="FE17" s="20">
        <v>111255</v>
      </c>
      <c r="FF17" s="10">
        <f t="shared" si="50"/>
        <v>97.74940452114512</v>
      </c>
      <c r="FG17" s="11">
        <v>10875110</v>
      </c>
      <c r="FH17" s="11">
        <v>10875110</v>
      </c>
      <c r="FI17" s="23">
        <f t="shared" si="26"/>
        <v>6.950252343186733</v>
      </c>
      <c r="FJ17" s="23">
        <f t="shared" si="27"/>
        <v>14.829369436886537</v>
      </c>
      <c r="FK17" s="23">
        <f t="shared" si="27"/>
        <v>22.810300376840303</v>
      </c>
      <c r="FL17" s="23">
        <f t="shared" si="28"/>
        <v>22.821770867603078</v>
      </c>
      <c r="FM17" s="23"/>
      <c r="FN17" s="20">
        <v>101356</v>
      </c>
      <c r="FO17" s="10">
        <f t="shared" si="51"/>
        <v>91.5966494336793</v>
      </c>
      <c r="FP17" s="11">
        <v>9283870</v>
      </c>
      <c r="FQ17" s="11">
        <v>9283870</v>
      </c>
      <c r="FR17" s="23">
        <f t="shared" si="52"/>
        <v>-8.897577636960136</v>
      </c>
      <c r="FS17" s="23">
        <f t="shared" si="52"/>
        <v>-6.294416950780359</v>
      </c>
      <c r="FT17" s="23">
        <f t="shared" si="53"/>
        <v>-14.631943952750817</v>
      </c>
      <c r="FU17" s="23">
        <f t="shared" si="53"/>
        <v>-14.631943952750817</v>
      </c>
      <c r="FV17" s="23"/>
      <c r="FW17" s="20">
        <v>98370</v>
      </c>
      <c r="FX17" s="10">
        <f t="shared" si="29"/>
        <v>102.83978855342076</v>
      </c>
      <c r="FY17" s="20">
        <v>10116350</v>
      </c>
      <c r="FZ17" s="20">
        <v>10116350</v>
      </c>
      <c r="GA17" s="23">
        <f t="shared" si="54"/>
        <v>-2.9460515411026478</v>
      </c>
      <c r="GB17" s="23">
        <f t="shared" si="54"/>
        <v>12.274618328568963</v>
      </c>
      <c r="GC17" s="23">
        <f t="shared" si="54"/>
        <v>8.96695020503303</v>
      </c>
      <c r="GD17" s="23">
        <f t="shared" si="54"/>
        <v>8.96695020503303</v>
      </c>
      <c r="GE17" s="23"/>
      <c r="GF17" s="20">
        <v>121716</v>
      </c>
      <c r="GG17" s="10">
        <f t="shared" si="30"/>
        <v>109.3263662953104</v>
      </c>
      <c r="GH17" s="20">
        <v>13306768</v>
      </c>
      <c r="GI17" s="20">
        <v>13306768</v>
      </c>
      <c r="GJ17" s="23">
        <f t="shared" si="55"/>
        <v>23.732845379688925</v>
      </c>
      <c r="GK17" s="23">
        <f t="shared" si="56"/>
        <v>6.307459236480383</v>
      </c>
      <c r="GL17" s="23">
        <f t="shared" si="57"/>
        <v>31.53724416415011</v>
      </c>
      <c r="GM17" s="23">
        <f t="shared" si="57"/>
        <v>31.53724416415011</v>
      </c>
      <c r="GN17" s="23"/>
      <c r="GO17" s="20">
        <v>113640</v>
      </c>
      <c r="GP17" s="10">
        <f t="shared" si="31"/>
        <v>64.36666666666666</v>
      </c>
      <c r="GQ17" s="20">
        <v>7314628</v>
      </c>
      <c r="GR17" s="20">
        <v>7314628</v>
      </c>
      <c r="GS17" s="23">
        <f t="shared" si="58"/>
        <v>-6.63511781524204</v>
      </c>
      <c r="GT17" s="23">
        <f t="shared" si="58"/>
        <v>-41.12429704944131</v>
      </c>
      <c r="GU17" s="23">
        <f t="shared" si="59"/>
        <v>-45.030769304762806</v>
      </c>
      <c r="GV17" s="23">
        <f t="shared" si="60"/>
        <v>-45.030769304762806</v>
      </c>
      <c r="GW17" s="23"/>
      <c r="GX17" s="20">
        <v>101591</v>
      </c>
      <c r="GY17" s="10">
        <f t="shared" si="32"/>
        <v>82.96939689539428</v>
      </c>
      <c r="GZ17" s="20">
        <v>8428944</v>
      </c>
      <c r="HA17" s="20">
        <v>8428944</v>
      </c>
      <c r="HB17" s="23">
        <f t="shared" si="61"/>
        <v>-10.602780711017246</v>
      </c>
      <c r="HC17" s="23">
        <f t="shared" si="61"/>
        <v>28.90118626938522</v>
      </c>
      <c r="HD17" s="23">
        <f t="shared" si="62"/>
        <v>15.234076155342422</v>
      </c>
      <c r="HE17" s="23">
        <f t="shared" si="63"/>
        <v>15.234076155342422</v>
      </c>
      <c r="HF17" s="23"/>
      <c r="HG17" s="20">
        <v>85271</v>
      </c>
      <c r="HH17" s="10">
        <f t="shared" si="33"/>
        <v>106.19791019221071</v>
      </c>
      <c r="HI17" s="20">
        <v>9055602</v>
      </c>
      <c r="HJ17" s="20">
        <v>9055602</v>
      </c>
      <c r="HK17" s="23">
        <f t="shared" si="34"/>
        <v>-16.064415154885765</v>
      </c>
      <c r="HL17" s="23">
        <f t="shared" si="34"/>
        <v>27.99648324080546</v>
      </c>
      <c r="HM17" s="23">
        <f t="shared" si="34"/>
        <v>7.434596789348703</v>
      </c>
      <c r="HN17" s="23">
        <f t="shared" si="34"/>
        <v>7.434596789348703</v>
      </c>
      <c r="HO17" s="23"/>
      <c r="HP17" s="20">
        <v>77497</v>
      </c>
      <c r="HQ17" s="10">
        <f t="shared" si="35"/>
        <v>94.38415680606991</v>
      </c>
      <c r="HR17" s="20">
        <v>7314489</v>
      </c>
      <c r="HS17" s="20">
        <v>7314489</v>
      </c>
      <c r="HT17" s="23">
        <f t="shared" si="36"/>
        <v>-9.116815799040708</v>
      </c>
      <c r="HU17" s="23">
        <f t="shared" si="37"/>
        <v>-11.124280472900779</v>
      </c>
      <c r="HV17" s="23">
        <f aca="true" t="shared" si="64" ref="HV17:HV81">HR17*100/HI17-100</f>
        <v>-19.226916112258465</v>
      </c>
      <c r="HW17" s="23">
        <f aca="true" t="shared" si="65" ref="HW17:HW81">HS17*100/HJ17-100</f>
        <v>-19.226916112258465</v>
      </c>
      <c r="HX17" s="23"/>
      <c r="HY17" s="20">
        <v>67310</v>
      </c>
      <c r="HZ17" s="10">
        <f t="shared" si="39"/>
        <v>94.76051106819195</v>
      </c>
      <c r="IA17" s="20">
        <v>6378330</v>
      </c>
      <c r="IB17" s="20">
        <v>6378330</v>
      </c>
      <c r="IC17" s="23">
        <f t="shared" si="40"/>
        <v>-13.14502496870847</v>
      </c>
      <c r="ID17" s="23">
        <f t="shared" si="41"/>
        <v>0.39874728435125917</v>
      </c>
      <c r="IE17" s="23">
        <f t="shared" si="42"/>
        <v>-12.798693114447232</v>
      </c>
      <c r="IF17" s="23">
        <f t="shared" si="43"/>
        <v>-12.798693114447232</v>
      </c>
      <c r="IG17" s="23"/>
      <c r="IH17" s="1" t="s">
        <v>17</v>
      </c>
      <c r="II17" s="29">
        <f t="shared" si="44"/>
        <v>106174.5</v>
      </c>
      <c r="IJ17" s="30">
        <f t="shared" si="45"/>
        <v>90.69719696282432</v>
      </c>
      <c r="IK17" s="29">
        <f t="shared" si="46"/>
        <v>9595953</v>
      </c>
      <c r="IL17" s="25">
        <f t="shared" si="47"/>
        <v>-27.009781067958883</v>
      </c>
      <c r="IM17" s="25">
        <f t="shared" si="48"/>
        <v>4.065130970648227</v>
      </c>
      <c r="IN17" s="25">
        <f t="shared" si="49"/>
        <v>-23.775272763424326</v>
      </c>
      <c r="IP17" s="30">
        <f>HP17*100/Italia!BR17</f>
        <v>10.654471064086032</v>
      </c>
      <c r="IQ17" s="30">
        <f>HR17*100/Italia!BT17</f>
        <v>10.245118021289848</v>
      </c>
      <c r="IR17" s="30">
        <f>HS17*100/Italia!BU17</f>
        <v>10.34011311870339</v>
      </c>
    </row>
    <row r="18" spans="1:252" ht="12">
      <c r="A18" s="1" t="s">
        <v>18</v>
      </c>
      <c r="B18" s="20">
        <v>0</v>
      </c>
      <c r="C18" s="10">
        <v>0</v>
      </c>
      <c r="D18" s="11">
        <v>0</v>
      </c>
      <c r="E18" s="5"/>
      <c r="F18" s="20">
        <v>0</v>
      </c>
      <c r="G18" s="10">
        <v>0</v>
      </c>
      <c r="H18" s="11">
        <v>0</v>
      </c>
      <c r="I18" s="24" t="s">
        <v>1</v>
      </c>
      <c r="J18" s="24" t="s">
        <v>1</v>
      </c>
      <c r="K18" s="24" t="s">
        <v>1</v>
      </c>
      <c r="L18" s="6"/>
      <c r="M18" s="20">
        <v>0</v>
      </c>
      <c r="N18" s="10">
        <v>0</v>
      </c>
      <c r="O18" s="11">
        <v>0</v>
      </c>
      <c r="P18" s="24" t="s">
        <v>1</v>
      </c>
      <c r="Q18" s="24" t="s">
        <v>1</v>
      </c>
      <c r="R18" s="24" t="s">
        <v>1</v>
      </c>
      <c r="S18" s="6"/>
      <c r="T18" s="20">
        <v>0</v>
      </c>
      <c r="U18" s="10">
        <v>0</v>
      </c>
      <c r="V18" s="11">
        <v>0</v>
      </c>
      <c r="W18" s="24" t="s">
        <v>1</v>
      </c>
      <c r="X18" s="24" t="s">
        <v>1</v>
      </c>
      <c r="Y18" s="24" t="s">
        <v>1</v>
      </c>
      <c r="Z18" s="6"/>
      <c r="AA18" s="20">
        <v>0</v>
      </c>
      <c r="AB18" s="10">
        <v>0</v>
      </c>
      <c r="AC18" s="11">
        <v>0</v>
      </c>
      <c r="AD18" s="24" t="s">
        <v>1</v>
      </c>
      <c r="AE18" s="24" t="s">
        <v>1</v>
      </c>
      <c r="AF18" s="24" t="s">
        <v>1</v>
      </c>
      <c r="AG18" s="6"/>
      <c r="AH18" s="20">
        <v>0</v>
      </c>
      <c r="AI18" s="10">
        <v>0</v>
      </c>
      <c r="AJ18" s="11">
        <v>0</v>
      </c>
      <c r="AK18" s="24" t="s">
        <v>1</v>
      </c>
      <c r="AL18" s="24" t="s">
        <v>1</v>
      </c>
      <c r="AM18" s="24" t="s">
        <v>1</v>
      </c>
      <c r="AN18" s="6"/>
      <c r="AO18" s="20">
        <v>0</v>
      </c>
      <c r="AP18" s="10">
        <v>0</v>
      </c>
      <c r="AQ18" s="11">
        <v>0</v>
      </c>
      <c r="AR18" s="24" t="s">
        <v>1</v>
      </c>
      <c r="AS18" s="24" t="s">
        <v>1</v>
      </c>
      <c r="AT18" s="24" t="s">
        <v>1</v>
      </c>
      <c r="AU18" s="6"/>
      <c r="AV18" s="20">
        <v>0</v>
      </c>
      <c r="AW18" s="10">
        <v>0</v>
      </c>
      <c r="AX18" s="11">
        <v>0</v>
      </c>
      <c r="AY18" s="24" t="s">
        <v>1</v>
      </c>
      <c r="AZ18" s="24" t="s">
        <v>1</v>
      </c>
      <c r="BA18" s="24" t="s">
        <v>1</v>
      </c>
      <c r="BB18" s="6"/>
      <c r="BC18" s="20">
        <v>0</v>
      </c>
      <c r="BD18" s="10">
        <v>0</v>
      </c>
      <c r="BE18" s="11">
        <v>0</v>
      </c>
      <c r="BF18" s="24" t="s">
        <v>1</v>
      </c>
      <c r="BG18" s="24" t="s">
        <v>1</v>
      </c>
      <c r="BH18" s="24" t="s">
        <v>1</v>
      </c>
      <c r="BI18" s="6"/>
      <c r="BJ18" s="20">
        <v>0</v>
      </c>
      <c r="BK18" s="10">
        <v>0</v>
      </c>
      <c r="BL18" s="11">
        <v>0</v>
      </c>
      <c r="BM18" s="24" t="s">
        <v>1</v>
      </c>
      <c r="BN18" s="24" t="s">
        <v>1</v>
      </c>
      <c r="BO18" s="24" t="s">
        <v>1</v>
      </c>
      <c r="BP18" s="6"/>
      <c r="BQ18" s="20" t="s">
        <v>1</v>
      </c>
      <c r="BR18" s="10" t="s">
        <v>1</v>
      </c>
      <c r="BS18" s="11" t="s">
        <v>1</v>
      </c>
      <c r="BT18" s="24" t="s">
        <v>1</v>
      </c>
      <c r="BU18" s="24" t="s">
        <v>1</v>
      </c>
      <c r="BV18" s="24" t="s">
        <v>1</v>
      </c>
      <c r="BW18" s="6"/>
      <c r="BX18" s="20" t="s">
        <v>1</v>
      </c>
      <c r="BY18" s="10" t="s">
        <v>1</v>
      </c>
      <c r="BZ18" s="11" t="s">
        <v>1</v>
      </c>
      <c r="CA18" s="24" t="s">
        <v>1</v>
      </c>
      <c r="CB18" s="24" t="s">
        <v>1</v>
      </c>
      <c r="CC18" s="24" t="s">
        <v>1</v>
      </c>
      <c r="CD18" s="6"/>
      <c r="CE18" s="20" t="s">
        <v>1</v>
      </c>
      <c r="CF18" s="10" t="s">
        <v>1</v>
      </c>
      <c r="CG18" s="11" t="s">
        <v>1</v>
      </c>
      <c r="CH18" s="24" t="s">
        <v>1</v>
      </c>
      <c r="CI18" s="24" t="s">
        <v>1</v>
      </c>
      <c r="CJ18" s="24" t="s">
        <v>1</v>
      </c>
      <c r="CK18" s="6"/>
      <c r="CL18" s="20" t="s">
        <v>1</v>
      </c>
      <c r="CM18" s="10" t="s">
        <v>1</v>
      </c>
      <c r="CN18" s="11" t="s">
        <v>1</v>
      </c>
      <c r="CO18" s="24" t="s">
        <v>1</v>
      </c>
      <c r="CP18" s="24" t="s">
        <v>1</v>
      </c>
      <c r="CQ18" s="24" t="s">
        <v>1</v>
      </c>
      <c r="CR18" s="6"/>
      <c r="CS18" s="20" t="s">
        <v>1</v>
      </c>
      <c r="CT18" s="10" t="s">
        <v>1</v>
      </c>
      <c r="CU18" s="11" t="s">
        <v>1</v>
      </c>
      <c r="CV18" s="24" t="s">
        <v>1</v>
      </c>
      <c r="CW18" s="24" t="s">
        <v>1</v>
      </c>
      <c r="CX18" s="24" t="s">
        <v>1</v>
      </c>
      <c r="CY18" s="6"/>
      <c r="CZ18" s="20" t="s">
        <v>1</v>
      </c>
      <c r="DA18" s="10" t="s">
        <v>1</v>
      </c>
      <c r="DB18" s="11" t="s">
        <v>1</v>
      </c>
      <c r="DC18" s="24" t="s">
        <v>1</v>
      </c>
      <c r="DD18" s="24" t="s">
        <v>1</v>
      </c>
      <c r="DE18" s="24" t="s">
        <v>1</v>
      </c>
      <c r="DF18" s="6"/>
      <c r="DG18" s="20" t="s">
        <v>1</v>
      </c>
      <c r="DH18" s="10" t="s">
        <v>1</v>
      </c>
      <c r="DI18" s="11" t="s">
        <v>1</v>
      </c>
      <c r="DJ18" s="24" t="s">
        <v>1</v>
      </c>
      <c r="DK18" s="24" t="s">
        <v>1</v>
      </c>
      <c r="DL18" s="24" t="s">
        <v>1</v>
      </c>
      <c r="DM18" s="6"/>
      <c r="DN18" s="20" t="s">
        <v>1</v>
      </c>
      <c r="DO18" s="10" t="s">
        <v>1</v>
      </c>
      <c r="DP18" s="11" t="s">
        <v>1</v>
      </c>
      <c r="DQ18" s="24" t="s">
        <v>1</v>
      </c>
      <c r="DR18" s="24" t="s">
        <v>1</v>
      </c>
      <c r="DS18" s="24" t="s">
        <v>1</v>
      </c>
      <c r="DT18" s="6"/>
      <c r="DU18" s="20" t="s">
        <v>1</v>
      </c>
      <c r="DV18" s="10" t="s">
        <v>1</v>
      </c>
      <c r="DW18" s="11" t="s">
        <v>1</v>
      </c>
      <c r="DX18" s="24" t="s">
        <v>1</v>
      </c>
      <c r="DY18" s="24" t="s">
        <v>1</v>
      </c>
      <c r="DZ18" s="24" t="s">
        <v>1</v>
      </c>
      <c r="EA18" s="6"/>
      <c r="EB18" s="20" t="s">
        <v>1</v>
      </c>
      <c r="EC18" s="10" t="s">
        <v>1</v>
      </c>
      <c r="ED18" s="11" t="s">
        <v>1</v>
      </c>
      <c r="EE18" s="24" t="s">
        <v>1</v>
      </c>
      <c r="EF18" s="24" t="s">
        <v>1</v>
      </c>
      <c r="EG18" s="24" t="s">
        <v>1</v>
      </c>
      <c r="EH18" s="6"/>
      <c r="EI18" s="20" t="s">
        <v>1</v>
      </c>
      <c r="EJ18" s="10" t="s">
        <v>1</v>
      </c>
      <c r="EK18" s="11" t="s">
        <v>1</v>
      </c>
      <c r="EL18" s="24" t="s">
        <v>1</v>
      </c>
      <c r="EM18" s="24" t="s">
        <v>1</v>
      </c>
      <c r="EN18" s="24" t="s">
        <v>1</v>
      </c>
      <c r="EO18" s="6"/>
      <c r="EP18" s="20" t="s">
        <v>1</v>
      </c>
      <c r="EQ18" s="10" t="s">
        <v>1</v>
      </c>
      <c r="ER18" s="11" t="s">
        <v>1</v>
      </c>
      <c r="ES18" s="24" t="s">
        <v>1</v>
      </c>
      <c r="ET18" s="24" t="s">
        <v>1</v>
      </c>
      <c r="EU18" s="24" t="s">
        <v>1</v>
      </c>
      <c r="EV18" s="6"/>
      <c r="EW18" s="20" t="s">
        <v>1</v>
      </c>
      <c r="EX18" s="10" t="s">
        <v>1</v>
      </c>
      <c r="EY18" s="10" t="s">
        <v>1</v>
      </c>
      <c r="EZ18" s="11" t="s">
        <v>1</v>
      </c>
      <c r="FA18" s="24" t="s">
        <v>1</v>
      </c>
      <c r="FB18" s="24" t="s">
        <v>1</v>
      </c>
      <c r="FC18" s="24" t="s">
        <v>1</v>
      </c>
      <c r="FD18" s="6"/>
      <c r="FE18" s="20" t="s">
        <v>1</v>
      </c>
      <c r="FF18" s="10" t="s">
        <v>1</v>
      </c>
      <c r="FG18" s="10" t="s">
        <v>1</v>
      </c>
      <c r="FH18" s="11" t="s">
        <v>1</v>
      </c>
      <c r="FI18" s="24" t="s">
        <v>1</v>
      </c>
      <c r="FJ18" s="24" t="s">
        <v>1</v>
      </c>
      <c r="FK18" s="24" t="s">
        <v>1</v>
      </c>
      <c r="FL18" s="24" t="s">
        <v>1</v>
      </c>
      <c r="FM18" s="24"/>
      <c r="FN18" s="20" t="s">
        <v>1</v>
      </c>
      <c r="FO18" s="10" t="s">
        <v>1</v>
      </c>
      <c r="FP18" s="11"/>
      <c r="FQ18" s="11" t="s">
        <v>1</v>
      </c>
      <c r="FR18" s="24" t="s">
        <v>1</v>
      </c>
      <c r="FS18" s="24" t="s">
        <v>1</v>
      </c>
      <c r="FT18" s="23" t="e">
        <f t="shared" si="53"/>
        <v>#DIV/0!</v>
      </c>
      <c r="FU18" s="23" t="e">
        <f t="shared" si="53"/>
        <v>#DIV/0!</v>
      </c>
      <c r="FV18" s="23"/>
      <c r="FW18" s="20" t="s">
        <v>1</v>
      </c>
      <c r="FX18" s="10" t="s">
        <v>1</v>
      </c>
      <c r="FY18" s="20" t="s">
        <v>1</v>
      </c>
      <c r="FZ18" s="20" t="s">
        <v>1</v>
      </c>
      <c r="GA18" s="24" t="s">
        <v>1</v>
      </c>
      <c r="GB18" s="24" t="s">
        <v>1</v>
      </c>
      <c r="GC18" s="24" t="s">
        <v>1</v>
      </c>
      <c r="GD18" s="24" t="s">
        <v>1</v>
      </c>
      <c r="GE18" s="23"/>
      <c r="GF18" s="20" t="s">
        <v>1</v>
      </c>
      <c r="GG18" s="10" t="s">
        <v>1</v>
      </c>
      <c r="GH18" s="20" t="s">
        <v>1</v>
      </c>
      <c r="GI18" s="20" t="s">
        <v>1</v>
      </c>
      <c r="GJ18" s="24" t="s">
        <v>1</v>
      </c>
      <c r="GK18" s="24" t="s">
        <v>1</v>
      </c>
      <c r="GL18" s="23" t="e">
        <f t="shared" si="57"/>
        <v>#DIV/0!</v>
      </c>
      <c r="GM18" s="23" t="e">
        <f t="shared" si="57"/>
        <v>#DIV/0!</v>
      </c>
      <c r="GN18" s="23"/>
      <c r="GO18" s="20" t="s">
        <v>1</v>
      </c>
      <c r="GP18" s="10" t="s">
        <v>1</v>
      </c>
      <c r="GQ18" s="20" t="s">
        <v>1</v>
      </c>
      <c r="GR18" s="20" t="s">
        <v>1</v>
      </c>
      <c r="GS18" s="24" t="s">
        <v>1</v>
      </c>
      <c r="GT18" s="24" t="s">
        <v>1</v>
      </c>
      <c r="GU18" s="23" t="e">
        <f t="shared" si="59"/>
        <v>#DIV/0!</v>
      </c>
      <c r="GV18" s="23" t="e">
        <f t="shared" si="60"/>
        <v>#DIV/0!</v>
      </c>
      <c r="GW18" s="23"/>
      <c r="GX18" s="20" t="s">
        <v>1</v>
      </c>
      <c r="GY18" s="10" t="s">
        <v>1</v>
      </c>
      <c r="GZ18" s="20" t="s">
        <v>1</v>
      </c>
      <c r="HA18" s="20" t="s">
        <v>1</v>
      </c>
      <c r="HB18" s="24" t="s">
        <v>1</v>
      </c>
      <c r="HC18" s="24" t="s">
        <v>1</v>
      </c>
      <c r="HD18" s="23" t="e">
        <f t="shared" si="62"/>
        <v>#DIV/0!</v>
      </c>
      <c r="HE18" s="23" t="e">
        <f t="shared" si="63"/>
        <v>#DIV/0!</v>
      </c>
      <c r="HF18" s="23"/>
      <c r="HG18" s="20" t="s">
        <v>1</v>
      </c>
      <c r="HH18" s="10" t="s">
        <v>1</v>
      </c>
      <c r="HI18" s="20" t="s">
        <v>1</v>
      </c>
      <c r="HJ18" s="20" t="s">
        <v>1</v>
      </c>
      <c r="HK18" s="24" t="s">
        <v>1</v>
      </c>
      <c r="HL18" s="24" t="s">
        <v>1</v>
      </c>
      <c r="HM18" s="23" t="e">
        <f aca="true" t="shared" si="66" ref="HM18:HN21">HI18*100/GZ18-100</f>
        <v>#DIV/0!</v>
      </c>
      <c r="HN18" s="23" t="e">
        <f t="shared" si="66"/>
        <v>#DIV/0!</v>
      </c>
      <c r="HO18" s="23"/>
      <c r="HP18" s="20" t="s">
        <v>1</v>
      </c>
      <c r="HQ18" s="10" t="s">
        <v>1</v>
      </c>
      <c r="HR18" s="20" t="s">
        <v>1</v>
      </c>
      <c r="HS18" s="20" t="s">
        <v>1</v>
      </c>
      <c r="HT18" s="24" t="s">
        <v>1</v>
      </c>
      <c r="HU18" s="24" t="s">
        <v>1</v>
      </c>
      <c r="HV18" s="23" t="e">
        <f t="shared" si="64"/>
        <v>#DIV/0!</v>
      </c>
      <c r="HW18" s="23" t="e">
        <f t="shared" si="65"/>
        <v>#DIV/0!</v>
      </c>
      <c r="HX18" s="23"/>
      <c r="HY18" s="20" t="s">
        <v>1</v>
      </c>
      <c r="HZ18" s="10" t="s">
        <v>1</v>
      </c>
      <c r="IA18" s="20" t="s">
        <v>1</v>
      </c>
      <c r="IB18" s="20" t="s">
        <v>1</v>
      </c>
      <c r="IC18" s="24" t="s">
        <v>1</v>
      </c>
      <c r="ID18" s="24" t="s">
        <v>1</v>
      </c>
      <c r="IE18" s="23" t="e">
        <f t="shared" si="42"/>
        <v>#DIV/0!</v>
      </c>
      <c r="IF18" s="23" t="e">
        <f t="shared" si="43"/>
        <v>#DIV/0!</v>
      </c>
      <c r="IG18" s="23"/>
      <c r="IH18" s="1" t="s">
        <v>18</v>
      </c>
      <c r="II18" s="29" t="e">
        <f t="shared" si="44"/>
        <v>#DIV/0!</v>
      </c>
      <c r="IJ18" s="30" t="e">
        <f t="shared" si="45"/>
        <v>#DIV/0!</v>
      </c>
      <c r="IK18" s="29" t="e">
        <f t="shared" si="46"/>
        <v>#DIV/0!</v>
      </c>
      <c r="IL18" s="25" t="e">
        <f t="shared" si="47"/>
        <v>#DIV/0!</v>
      </c>
      <c r="IM18" s="25" t="e">
        <f t="shared" si="48"/>
        <v>#DIV/0!</v>
      </c>
      <c r="IN18" s="25" t="e">
        <f t="shared" si="49"/>
        <v>#DIV/0!</v>
      </c>
      <c r="IP18" s="30" t="e">
        <f>HP18*100/Italia!BR18</f>
        <v>#DIV/0!</v>
      </c>
      <c r="IQ18" s="30" t="e">
        <f>HR18*100/Italia!BT18</f>
        <v>#DIV/0!</v>
      </c>
      <c r="IR18" s="30" t="e">
        <f>HS18*100/Italia!BU18</f>
        <v>#DIV/0!</v>
      </c>
    </row>
    <row r="19" spans="1:252" ht="12">
      <c r="A19" s="1" t="s">
        <v>141</v>
      </c>
      <c r="B19" s="20">
        <v>6079</v>
      </c>
      <c r="C19" s="10">
        <v>57.4</v>
      </c>
      <c r="D19" s="11">
        <v>348800</v>
      </c>
      <c r="E19" s="9"/>
      <c r="F19" s="20">
        <v>5478</v>
      </c>
      <c r="G19" s="10">
        <f>H19/F19</f>
        <v>57.74005111354509</v>
      </c>
      <c r="H19" s="11">
        <v>316300</v>
      </c>
      <c r="I19" s="23">
        <f aca="true" t="shared" si="67" ref="I19:K20">F19*100/B19-100</f>
        <v>-9.8864944892252</v>
      </c>
      <c r="J19" s="23">
        <f t="shared" si="67"/>
        <v>0.5924235427614946</v>
      </c>
      <c r="K19" s="23">
        <f t="shared" si="67"/>
        <v>-9.317660550458712</v>
      </c>
      <c r="L19" s="8"/>
      <c r="M19" s="20">
        <v>4707</v>
      </c>
      <c r="N19" s="10">
        <f>O19/M19</f>
        <v>57.3826216273635</v>
      </c>
      <c r="O19" s="11">
        <v>270100</v>
      </c>
      <c r="P19" s="23">
        <f aca="true" t="shared" si="68" ref="P19:R20">M19*100/F19-100</f>
        <v>-14.074479737130346</v>
      </c>
      <c r="Q19" s="23">
        <f t="shared" si="68"/>
        <v>-0.6190321610189073</v>
      </c>
      <c r="R19" s="23">
        <f t="shared" si="68"/>
        <v>-14.606386342080299</v>
      </c>
      <c r="S19" s="8"/>
      <c r="T19" s="20">
        <v>5389</v>
      </c>
      <c r="U19" s="10">
        <v>58.1</v>
      </c>
      <c r="V19" s="11">
        <v>313100</v>
      </c>
      <c r="W19" s="23">
        <f aca="true" t="shared" si="69" ref="W19:Y20">T19*100/M19-100</f>
        <v>14.48905884852347</v>
      </c>
      <c r="X19" s="23">
        <f t="shared" si="69"/>
        <v>1.2501666049611373</v>
      </c>
      <c r="Y19" s="23">
        <f t="shared" si="69"/>
        <v>15.920029618659754</v>
      </c>
      <c r="Z19" s="8"/>
      <c r="AA19" s="20">
        <v>5775</v>
      </c>
      <c r="AB19" s="10">
        <f>AC19/AA19</f>
        <v>57.523809523809526</v>
      </c>
      <c r="AC19" s="11">
        <v>332200</v>
      </c>
      <c r="AD19" s="23">
        <f aca="true" t="shared" si="70" ref="AD19:AF20">AA19*100/T19-100</f>
        <v>7.162738912599735</v>
      </c>
      <c r="AE19" s="23">
        <f t="shared" si="70"/>
        <v>-0.9917219900008263</v>
      </c>
      <c r="AF19" s="23">
        <f t="shared" si="70"/>
        <v>6.10028744809965</v>
      </c>
      <c r="AG19" s="8"/>
      <c r="AH19" s="20">
        <v>6138</v>
      </c>
      <c r="AI19" s="10">
        <v>57.9</v>
      </c>
      <c r="AJ19" s="11">
        <v>355200</v>
      </c>
      <c r="AK19" s="23">
        <f aca="true" t="shared" si="71" ref="AK19:AM20">AH19*100/AA19-100</f>
        <v>6.285714285714292</v>
      </c>
      <c r="AL19" s="23">
        <f t="shared" si="71"/>
        <v>0.6539735099337776</v>
      </c>
      <c r="AM19" s="23">
        <f t="shared" si="71"/>
        <v>6.923540036122816</v>
      </c>
      <c r="AN19" s="8"/>
      <c r="AO19" s="20">
        <v>6200</v>
      </c>
      <c r="AP19" s="10">
        <v>54.4</v>
      </c>
      <c r="AQ19" s="11">
        <v>336900</v>
      </c>
      <c r="AR19" s="23">
        <f aca="true" t="shared" si="72" ref="AR19:AT20">AO19*100/AH19-100</f>
        <v>1.0101010101010104</v>
      </c>
      <c r="AS19" s="23">
        <f t="shared" si="72"/>
        <v>-6.044905008635581</v>
      </c>
      <c r="AT19" s="23">
        <f t="shared" si="72"/>
        <v>-5.152027027027032</v>
      </c>
      <c r="AU19" s="8"/>
      <c r="AV19" s="20">
        <v>7349</v>
      </c>
      <c r="AW19" s="10">
        <v>57.1</v>
      </c>
      <c r="AX19" s="11">
        <v>419930</v>
      </c>
      <c r="AY19" s="23">
        <f aca="true" t="shared" si="73" ref="AY19:BA20">AV19*100/AO19-100</f>
        <v>18.532258064516128</v>
      </c>
      <c r="AZ19" s="23">
        <f t="shared" si="73"/>
        <v>4.963235294117652</v>
      </c>
      <c r="BA19" s="23">
        <f t="shared" si="73"/>
        <v>24.645295339863466</v>
      </c>
      <c r="BB19" s="8"/>
      <c r="BC19" s="20">
        <v>8355</v>
      </c>
      <c r="BD19" s="10">
        <v>57.3</v>
      </c>
      <c r="BE19" s="11">
        <v>478537</v>
      </c>
      <c r="BF19" s="23">
        <f aca="true" t="shared" si="74" ref="BF19:BH20">BC19*100/AV19-100</f>
        <v>13.688937270376925</v>
      </c>
      <c r="BG19" s="23">
        <f t="shared" si="74"/>
        <v>0.3502626970227709</v>
      </c>
      <c r="BH19" s="23">
        <f t="shared" si="74"/>
        <v>13.956373681327847</v>
      </c>
      <c r="BI19" s="8"/>
      <c r="BJ19" s="20">
        <v>8687</v>
      </c>
      <c r="BK19" s="10">
        <v>59.6</v>
      </c>
      <c r="BL19" s="11">
        <v>518000</v>
      </c>
      <c r="BM19" s="23">
        <f aca="true" t="shared" si="75" ref="BM19:BO20">BJ19*100/BC19-100</f>
        <v>3.9736684619987983</v>
      </c>
      <c r="BN19" s="23">
        <f t="shared" si="75"/>
        <v>4.01396160558464</v>
      </c>
      <c r="BO19" s="23">
        <f t="shared" si="75"/>
        <v>8.24659326238097</v>
      </c>
      <c r="BP19" s="8"/>
      <c r="BQ19" s="20">
        <v>9925</v>
      </c>
      <c r="BR19" s="10">
        <v>54.5</v>
      </c>
      <c r="BS19" s="11">
        <v>479820</v>
      </c>
      <c r="BT19" s="23">
        <f aca="true" t="shared" si="76" ref="BT19:BV20">BQ19*100/BJ19-100</f>
        <v>14.251179924024399</v>
      </c>
      <c r="BU19" s="23">
        <f t="shared" si="76"/>
        <v>-8.557046979865774</v>
      </c>
      <c r="BV19" s="23">
        <f t="shared" si="76"/>
        <v>-7.370656370656377</v>
      </c>
      <c r="BW19" s="8"/>
      <c r="BX19" s="20">
        <v>10724</v>
      </c>
      <c r="BY19" s="10">
        <v>59.9</v>
      </c>
      <c r="BZ19" s="11">
        <v>634840</v>
      </c>
      <c r="CA19" s="23">
        <f aca="true" t="shared" si="77" ref="CA19:CC20">BX19*100/BQ19-100</f>
        <v>8.050377833753146</v>
      </c>
      <c r="CB19" s="23">
        <f t="shared" si="77"/>
        <v>9.908256880733944</v>
      </c>
      <c r="CC19" s="23">
        <f t="shared" si="77"/>
        <v>32.307948814138626</v>
      </c>
      <c r="CD19" s="8"/>
      <c r="CE19" s="20">
        <v>10296</v>
      </c>
      <c r="CF19" s="10">
        <v>57</v>
      </c>
      <c r="CG19" s="11">
        <v>584317</v>
      </c>
      <c r="CH19" s="23">
        <f aca="true" t="shared" si="78" ref="CH19:CJ20">CE19*100/BX19-100</f>
        <v>-3.991048116374486</v>
      </c>
      <c r="CI19" s="23">
        <f t="shared" si="78"/>
        <v>-4.841402337228715</v>
      </c>
      <c r="CJ19" s="23">
        <f t="shared" si="78"/>
        <v>-7.95838321466826</v>
      </c>
      <c r="CK19" s="8"/>
      <c r="CL19" s="20">
        <v>8173</v>
      </c>
      <c r="CM19" s="10">
        <v>56.4</v>
      </c>
      <c r="CN19" s="11">
        <v>461295</v>
      </c>
      <c r="CO19" s="23">
        <f aca="true" t="shared" si="79" ref="CO19:CQ20">CL19*100/CE19-100</f>
        <v>-20.619658119658126</v>
      </c>
      <c r="CP19" s="23">
        <f t="shared" si="79"/>
        <v>-1.05263157894737</v>
      </c>
      <c r="CQ19" s="23">
        <f t="shared" si="79"/>
        <v>-21.053982684056777</v>
      </c>
      <c r="CR19" s="8"/>
      <c r="CS19" s="20">
        <v>7897</v>
      </c>
      <c r="CT19" s="10">
        <v>64.8</v>
      </c>
      <c r="CU19" s="11">
        <v>512010</v>
      </c>
      <c r="CV19" s="23">
        <f aca="true" t="shared" si="80" ref="CV19:CX20">CS19*100/CL19-100</f>
        <v>-3.376972959745501</v>
      </c>
      <c r="CW19" s="23">
        <f t="shared" si="80"/>
        <v>14.893617021276597</v>
      </c>
      <c r="CX19" s="23">
        <f t="shared" si="80"/>
        <v>10.994049361037952</v>
      </c>
      <c r="CY19" s="8"/>
      <c r="CZ19" s="20">
        <v>7575</v>
      </c>
      <c r="DA19" s="10">
        <v>52.8</v>
      </c>
      <c r="DB19" s="11">
        <v>400065</v>
      </c>
      <c r="DC19" s="23">
        <f aca="true" t="shared" si="81" ref="DC19:DE20">CZ19*100/CS19-100</f>
        <v>-4.077497783968596</v>
      </c>
      <c r="DD19" s="23">
        <f t="shared" si="81"/>
        <v>-18.51851851851852</v>
      </c>
      <c r="DE19" s="23">
        <f t="shared" si="81"/>
        <v>-21.86383078455499</v>
      </c>
      <c r="DF19" s="8"/>
      <c r="DG19" s="20">
        <v>7617</v>
      </c>
      <c r="DH19" s="10">
        <v>58.7</v>
      </c>
      <c r="DI19" s="11">
        <v>446770</v>
      </c>
      <c r="DJ19" s="23">
        <f aca="true" t="shared" si="82" ref="DJ19:DL20">DG19*100/CZ19-100</f>
        <v>0.5544554455445478</v>
      </c>
      <c r="DK19" s="23">
        <f t="shared" si="82"/>
        <v>11.174242424242436</v>
      </c>
      <c r="DL19" s="23">
        <f t="shared" si="82"/>
        <v>11.674352917650879</v>
      </c>
      <c r="DM19" s="8"/>
      <c r="DN19" s="20">
        <v>6961</v>
      </c>
      <c r="DO19" s="10">
        <v>64.7</v>
      </c>
      <c r="DP19" s="11">
        <v>450620</v>
      </c>
      <c r="DQ19" s="23">
        <f aca="true" t="shared" si="83" ref="DQ19:DS20">DN19*100/DG19-100</f>
        <v>-8.612314559537879</v>
      </c>
      <c r="DR19" s="23">
        <f t="shared" si="83"/>
        <v>10.221465076660976</v>
      </c>
      <c r="DS19" s="23">
        <f t="shared" si="83"/>
        <v>0.8617409405286907</v>
      </c>
      <c r="DT19" s="8"/>
      <c r="DU19" s="20">
        <v>6960</v>
      </c>
      <c r="DV19" s="10">
        <v>65.8</v>
      </c>
      <c r="DW19" s="11">
        <v>458310</v>
      </c>
      <c r="DX19" s="23">
        <f aca="true" t="shared" si="84" ref="DX19:DZ20">DU19*100/DN19-100</f>
        <v>-0.014365752047126534</v>
      </c>
      <c r="DY19" s="23">
        <f t="shared" si="84"/>
        <v>1.7001545595054068</v>
      </c>
      <c r="DZ19" s="23">
        <f t="shared" si="84"/>
        <v>1.706537659225063</v>
      </c>
      <c r="EA19" s="8"/>
      <c r="EB19" s="20">
        <v>6843</v>
      </c>
      <c r="EC19" s="10">
        <v>61.9</v>
      </c>
      <c r="ED19" s="11">
        <v>423420</v>
      </c>
      <c r="EE19" s="23">
        <f aca="true" t="shared" si="85" ref="EE19:EG20">EB19*100/DU19-100</f>
        <v>-1.6810344827586192</v>
      </c>
      <c r="EF19" s="23">
        <f t="shared" si="85"/>
        <v>-5.927051671732514</v>
      </c>
      <c r="EG19" s="23">
        <f t="shared" si="85"/>
        <v>-7.612751194606275</v>
      </c>
      <c r="EH19" s="8"/>
      <c r="EI19" s="20">
        <v>5813</v>
      </c>
      <c r="EJ19" s="10">
        <v>57.4</v>
      </c>
      <c r="EK19" s="11">
        <v>333938</v>
      </c>
      <c r="EL19" s="23">
        <f aca="true" t="shared" si="86" ref="EL19:EN20">EI19*100/EB19-100</f>
        <v>-15.051877831360514</v>
      </c>
      <c r="EM19" s="23">
        <f t="shared" si="86"/>
        <v>-7.269789983844916</v>
      </c>
      <c r="EN19" s="23">
        <f t="shared" si="86"/>
        <v>-21.13315384252043</v>
      </c>
      <c r="EO19" s="8"/>
      <c r="EP19" s="20">
        <v>6714</v>
      </c>
      <c r="EQ19" s="10">
        <v>59.71403038427167</v>
      </c>
      <c r="ER19" s="11">
        <v>400920</v>
      </c>
      <c r="ES19" s="23">
        <f aca="true" t="shared" si="87" ref="ES19:EU26">EP19*100/EI19-100</f>
        <v>15.499741957681053</v>
      </c>
      <c r="ET19" s="23">
        <f t="shared" si="87"/>
        <v>4.0314118192886355</v>
      </c>
      <c r="EU19" s="23">
        <f t="shared" si="87"/>
        <v>20.05821439908007</v>
      </c>
      <c r="EV19" s="8"/>
      <c r="EW19" s="39" t="s">
        <v>138</v>
      </c>
      <c r="EX19" s="39" t="s">
        <v>138</v>
      </c>
      <c r="EY19" s="39" t="s">
        <v>138</v>
      </c>
      <c r="EZ19" s="39" t="s">
        <v>138</v>
      </c>
      <c r="FA19" s="23">
        <f aca="true" t="shared" si="88" ref="FA19:FB21">EW19*100/EP19-100</f>
        <v>-100</v>
      </c>
      <c r="FB19" s="23">
        <f t="shared" si="88"/>
        <v>-100</v>
      </c>
      <c r="FC19" s="23">
        <f>EZ19*100/ER19-100</f>
        <v>-100</v>
      </c>
      <c r="FD19" s="8"/>
      <c r="FE19" s="20">
        <v>6625</v>
      </c>
      <c r="FF19" s="10">
        <f t="shared" si="50"/>
        <v>67.73735849056604</v>
      </c>
      <c r="FG19" s="11">
        <v>448760</v>
      </c>
      <c r="FH19" s="11">
        <v>448760</v>
      </c>
      <c r="FI19" s="23" t="e">
        <f aca="true" t="shared" si="89" ref="FI19:FL20">FE19*100/EW19-100</f>
        <v>#DIV/0!</v>
      </c>
      <c r="FJ19" s="23" t="e">
        <f t="shared" si="89"/>
        <v>#DIV/0!</v>
      </c>
      <c r="FK19" s="23" t="e">
        <f t="shared" si="89"/>
        <v>#DIV/0!</v>
      </c>
      <c r="FL19" s="23" t="e">
        <f t="shared" si="89"/>
        <v>#DIV/0!</v>
      </c>
      <c r="FM19" s="23"/>
      <c r="FN19" s="20">
        <v>7878</v>
      </c>
      <c r="FO19" s="10">
        <f t="shared" si="51"/>
        <v>69.45925361766946</v>
      </c>
      <c r="FP19" s="11">
        <v>547200</v>
      </c>
      <c r="FQ19" s="11">
        <v>547200</v>
      </c>
      <c r="FR19" s="23">
        <f t="shared" si="52"/>
        <v>18.913207547169804</v>
      </c>
      <c r="FS19" s="23">
        <f t="shared" si="52"/>
        <v>2.5420169393573815</v>
      </c>
      <c r="FT19" s="23">
        <f t="shared" si="53"/>
        <v>21.93600142615206</v>
      </c>
      <c r="FU19" s="23">
        <f t="shared" si="53"/>
        <v>21.93600142615206</v>
      </c>
      <c r="FV19" s="23"/>
      <c r="FW19" s="20">
        <v>8768</v>
      </c>
      <c r="FX19" s="10">
        <f>FY19/FW19</f>
        <v>61.98448905109489</v>
      </c>
      <c r="FY19" s="20">
        <v>543480</v>
      </c>
      <c r="FZ19" s="20">
        <v>543480</v>
      </c>
      <c r="GA19" s="23">
        <f t="shared" si="54"/>
        <v>11.297283574511297</v>
      </c>
      <c r="GB19" s="23">
        <f t="shared" si="54"/>
        <v>-10.761366092009226</v>
      </c>
      <c r="GC19" s="23">
        <f t="shared" si="54"/>
        <v>-0.6798245614035068</v>
      </c>
      <c r="GD19" s="23">
        <f t="shared" si="54"/>
        <v>-0.6798245614035068</v>
      </c>
      <c r="GE19" s="23"/>
      <c r="GF19" s="20">
        <v>9964</v>
      </c>
      <c r="GG19" s="10">
        <f aca="true" t="shared" si="90" ref="GG19:GG26">GH19/GF19</f>
        <v>64.73604977920513</v>
      </c>
      <c r="GH19" s="20">
        <v>645030</v>
      </c>
      <c r="GI19" s="20">
        <v>645030</v>
      </c>
      <c r="GJ19" s="23">
        <f t="shared" si="55"/>
        <v>13.640510948905103</v>
      </c>
      <c r="GK19" s="23">
        <f t="shared" si="56"/>
        <v>4.439111736231439</v>
      </c>
      <c r="GL19" s="23">
        <f t="shared" si="57"/>
        <v>18.685140207551342</v>
      </c>
      <c r="GM19" s="23">
        <f t="shared" si="57"/>
        <v>18.685140207551342</v>
      </c>
      <c r="GN19" s="23"/>
      <c r="GO19" s="20">
        <v>8155</v>
      </c>
      <c r="GP19" s="10">
        <f aca="true" t="shared" si="91" ref="GP19:GP26">GQ19/GO19</f>
        <v>65.12201103617413</v>
      </c>
      <c r="GQ19" s="20">
        <v>531070</v>
      </c>
      <c r="GR19" s="20">
        <v>531070</v>
      </c>
      <c r="GS19" s="23">
        <f aca="true" t="shared" si="92" ref="GS19:GS26">GO19*100/GF19-100</f>
        <v>-18.155359293456442</v>
      </c>
      <c r="GT19" s="23">
        <f t="shared" si="58"/>
        <v>0.5962076127372455</v>
      </c>
      <c r="GU19" s="23">
        <f t="shared" si="59"/>
        <v>-17.66739531494659</v>
      </c>
      <c r="GV19" s="23">
        <f t="shared" si="60"/>
        <v>-17.66739531494659</v>
      </c>
      <c r="GW19" s="23"/>
      <c r="GX19" s="20">
        <v>6988</v>
      </c>
      <c r="GY19" s="10">
        <f aca="true" t="shared" si="93" ref="GY19:GY26">GZ19/GX19</f>
        <v>58.50314825414997</v>
      </c>
      <c r="GZ19" s="20">
        <v>408820</v>
      </c>
      <c r="HA19" s="20">
        <v>408820</v>
      </c>
      <c r="HB19" s="23">
        <f aca="true" t="shared" si="94" ref="HB19:HC26">GX19*100/GO19-100</f>
        <v>-14.310239117106065</v>
      </c>
      <c r="HC19" s="23">
        <f t="shared" si="94"/>
        <v>-10.16378744561112</v>
      </c>
      <c r="HD19" s="23">
        <f t="shared" si="62"/>
        <v>-23.01956427589583</v>
      </c>
      <c r="HE19" s="23">
        <f t="shared" si="63"/>
        <v>-23.01956427589583</v>
      </c>
      <c r="HF19" s="23"/>
      <c r="HG19" s="20">
        <v>7239</v>
      </c>
      <c r="HH19" s="10">
        <f aca="true" t="shared" si="95" ref="HH19:HH26">HI19/HG19</f>
        <v>63.186904268545376</v>
      </c>
      <c r="HI19" s="20">
        <v>457410</v>
      </c>
      <c r="HJ19" s="20">
        <v>457410</v>
      </c>
      <c r="HK19" s="23">
        <f aca="true" t="shared" si="96" ref="HK19:HK26">HG19*100/GX19-100</f>
        <v>3.591871780194623</v>
      </c>
      <c r="HL19" s="23">
        <f aca="true" t="shared" si="97" ref="HL19:HL26">HH19*100/GY19-100</f>
        <v>8.005989684603279</v>
      </c>
      <c r="HM19" s="23">
        <f t="shared" si="66"/>
        <v>11.885426349004447</v>
      </c>
      <c r="HN19" s="23">
        <f t="shared" si="66"/>
        <v>11.885426349004447</v>
      </c>
      <c r="HO19" s="23"/>
      <c r="HP19" s="20"/>
      <c r="HQ19" s="10" t="e">
        <f aca="true" t="shared" si="98" ref="HQ19:HQ26">HR19/HP19</f>
        <v>#DIV/0!</v>
      </c>
      <c r="HR19" s="20"/>
      <c r="HS19" s="20"/>
      <c r="HT19" s="23">
        <f aca="true" t="shared" si="99" ref="HT19:HT26">HP19*100/HG19-100</f>
        <v>-100</v>
      </c>
      <c r="HU19" s="23" t="e">
        <f aca="true" t="shared" si="100" ref="HU19:HU26">HQ19*100/HH19-100</f>
        <v>#DIV/0!</v>
      </c>
      <c r="HV19" s="23">
        <f t="shared" si="64"/>
        <v>-100</v>
      </c>
      <c r="HW19" s="23">
        <f t="shared" si="65"/>
        <v>-100</v>
      </c>
      <c r="HX19" s="23"/>
      <c r="HY19" s="20"/>
      <c r="HZ19" s="10" t="e">
        <f aca="true" t="shared" si="101" ref="HZ19:HZ27">IA19/HY19</f>
        <v>#DIV/0!</v>
      </c>
      <c r="IA19" s="20"/>
      <c r="IB19" s="20"/>
      <c r="IC19" s="23" t="e">
        <f aca="true" t="shared" si="102" ref="IC19:IC26">HY19*100/HP19-100</f>
        <v>#DIV/0!</v>
      </c>
      <c r="ID19" s="23" t="e">
        <f aca="true" t="shared" si="103" ref="ID19:ID26">HZ19*100/HQ19-100</f>
        <v>#DIV/0!</v>
      </c>
      <c r="IE19" s="23" t="e">
        <f t="shared" si="42"/>
        <v>#DIV/0!</v>
      </c>
      <c r="IF19" s="23" t="e">
        <f t="shared" si="43"/>
        <v>#DIV/0!</v>
      </c>
      <c r="IG19" s="23"/>
      <c r="IH19" s="1" t="s">
        <v>19</v>
      </c>
      <c r="II19" s="29">
        <f t="shared" si="44"/>
        <v>7571.555555555556</v>
      </c>
      <c r="IJ19" s="30">
        <f t="shared" si="45"/>
        <v>63.09369387574184</v>
      </c>
      <c r="IK19" s="29">
        <f t="shared" si="46"/>
        <v>479625.3333333333</v>
      </c>
      <c r="IL19" s="25">
        <f t="shared" si="47"/>
        <v>-100</v>
      </c>
      <c r="IM19" s="25" t="e">
        <f t="shared" si="48"/>
        <v>#DIV/0!</v>
      </c>
      <c r="IN19" s="25">
        <f t="shared" si="49"/>
        <v>-100</v>
      </c>
      <c r="IP19" s="30" t="e">
        <f>HP19*100/Italia!BR19</f>
        <v>#DIV/0!</v>
      </c>
      <c r="IQ19" s="30" t="e">
        <f>HR19*100/Italia!BT19</f>
        <v>#DIV/0!</v>
      </c>
      <c r="IR19" s="30" t="e">
        <f>HS19*100/Italia!BU19</f>
        <v>#DIV/0!</v>
      </c>
    </row>
    <row r="20" spans="1:252" ht="12">
      <c r="A20" s="1" t="s">
        <v>20</v>
      </c>
      <c r="B20" s="20">
        <v>2090</v>
      </c>
      <c r="C20" s="10">
        <f>91050/B20</f>
        <v>43.56459330143541</v>
      </c>
      <c r="D20" s="11">
        <v>91000</v>
      </c>
      <c r="E20" s="9"/>
      <c r="F20" s="20">
        <v>2090</v>
      </c>
      <c r="G20" s="10">
        <f>H20/F20</f>
        <v>61.43540669856459</v>
      </c>
      <c r="H20" s="11">
        <v>128400</v>
      </c>
      <c r="I20" s="23">
        <f t="shared" si="67"/>
        <v>0</v>
      </c>
      <c r="J20" s="23">
        <f t="shared" si="67"/>
        <v>41.021416803953855</v>
      </c>
      <c r="K20" s="23">
        <f t="shared" si="67"/>
        <v>41.09890109890111</v>
      </c>
      <c r="L20" s="8"/>
      <c r="M20" s="20">
        <v>2065</v>
      </c>
      <c r="N20" s="10">
        <f>O20/M20</f>
        <v>56.70702179176755</v>
      </c>
      <c r="O20" s="11">
        <v>117100</v>
      </c>
      <c r="P20" s="23">
        <f t="shared" si="68"/>
        <v>-1.1961722488038333</v>
      </c>
      <c r="Q20" s="23">
        <f t="shared" si="68"/>
        <v>-7.6965143732132475</v>
      </c>
      <c r="R20" s="23">
        <f t="shared" si="68"/>
        <v>-8.800623052959509</v>
      </c>
      <c r="S20" s="8"/>
      <c r="T20" s="20">
        <v>2420</v>
      </c>
      <c r="U20" s="10">
        <v>55.1</v>
      </c>
      <c r="V20" s="11">
        <v>133300</v>
      </c>
      <c r="W20" s="23">
        <f t="shared" si="69"/>
        <v>17.191283292978213</v>
      </c>
      <c r="X20" s="23">
        <f t="shared" si="69"/>
        <v>-2.8339026473099835</v>
      </c>
      <c r="Y20" s="23">
        <f t="shared" si="69"/>
        <v>13.834329632792489</v>
      </c>
      <c r="Z20" s="8"/>
      <c r="AA20" s="20">
        <v>2717</v>
      </c>
      <c r="AB20" s="10">
        <v>70.4</v>
      </c>
      <c r="AC20" s="11">
        <v>191200</v>
      </c>
      <c r="AD20" s="23">
        <f t="shared" si="70"/>
        <v>12.272727272727266</v>
      </c>
      <c r="AE20" s="23">
        <f t="shared" si="70"/>
        <v>27.767695099818525</v>
      </c>
      <c r="AF20" s="23">
        <f t="shared" si="70"/>
        <v>43.435858964741186</v>
      </c>
      <c r="AG20" s="8"/>
      <c r="AH20" s="20">
        <v>3555</v>
      </c>
      <c r="AI20" s="10">
        <v>74.4</v>
      </c>
      <c r="AJ20" s="11">
        <v>264600</v>
      </c>
      <c r="AK20" s="23">
        <f t="shared" si="71"/>
        <v>30.842841369157156</v>
      </c>
      <c r="AL20" s="23">
        <f t="shared" si="71"/>
        <v>5.681818181818187</v>
      </c>
      <c r="AM20" s="23">
        <f t="shared" si="71"/>
        <v>38.38912133891213</v>
      </c>
      <c r="AN20" s="8"/>
      <c r="AO20" s="20">
        <v>8230</v>
      </c>
      <c r="AP20" s="10">
        <v>69.3</v>
      </c>
      <c r="AQ20" s="11">
        <v>548900</v>
      </c>
      <c r="AR20" s="23">
        <f t="shared" si="72"/>
        <v>131.50492264416314</v>
      </c>
      <c r="AS20" s="23">
        <f t="shared" si="72"/>
        <v>-6.8548387096774235</v>
      </c>
      <c r="AT20" s="23">
        <f t="shared" si="72"/>
        <v>107.44520030234315</v>
      </c>
      <c r="AU20" s="8"/>
      <c r="AV20" s="20">
        <v>11560</v>
      </c>
      <c r="AW20" s="10">
        <v>77.8</v>
      </c>
      <c r="AX20" s="11">
        <v>899710</v>
      </c>
      <c r="AY20" s="23">
        <f t="shared" si="73"/>
        <v>40.46172539489672</v>
      </c>
      <c r="AZ20" s="23">
        <f t="shared" si="73"/>
        <v>12.265512265512271</v>
      </c>
      <c r="BA20" s="23">
        <f t="shared" si="73"/>
        <v>63.91145928220075</v>
      </c>
      <c r="BB20" s="8"/>
      <c r="BC20" s="20">
        <v>16385</v>
      </c>
      <c r="BD20" s="10">
        <v>79.8</v>
      </c>
      <c r="BE20" s="11">
        <v>1307080</v>
      </c>
      <c r="BF20" s="23">
        <f t="shared" si="74"/>
        <v>41.73875432525952</v>
      </c>
      <c r="BG20" s="23">
        <f t="shared" si="74"/>
        <v>2.5706940874036093</v>
      </c>
      <c r="BH20" s="23">
        <f t="shared" si="74"/>
        <v>45.277922886263354</v>
      </c>
      <c r="BI20" s="8"/>
      <c r="BJ20" s="20">
        <v>19080</v>
      </c>
      <c r="BK20" s="10">
        <v>75.14</v>
      </c>
      <c r="BL20" s="11">
        <v>1433671</v>
      </c>
      <c r="BM20" s="23">
        <f t="shared" si="75"/>
        <v>16.447970704913033</v>
      </c>
      <c r="BN20" s="23">
        <f t="shared" si="75"/>
        <v>-5.839598997493738</v>
      </c>
      <c r="BO20" s="23">
        <f t="shared" si="75"/>
        <v>9.685023104936192</v>
      </c>
      <c r="BP20" s="8"/>
      <c r="BQ20" s="20">
        <v>17620</v>
      </c>
      <c r="BR20" s="10">
        <v>75.51</v>
      </c>
      <c r="BS20" s="11">
        <v>1320670</v>
      </c>
      <c r="BT20" s="23">
        <f t="shared" si="76"/>
        <v>-7.651991614255763</v>
      </c>
      <c r="BU20" s="23">
        <f t="shared" si="76"/>
        <v>0.49241416023424733</v>
      </c>
      <c r="BV20" s="23">
        <f t="shared" si="76"/>
        <v>-7.8819338606974725</v>
      </c>
      <c r="BW20" s="8"/>
      <c r="BX20" s="20">
        <v>18790</v>
      </c>
      <c r="BY20" s="10">
        <v>73.7</v>
      </c>
      <c r="BZ20" s="11">
        <v>1339618</v>
      </c>
      <c r="CA20" s="23">
        <f t="shared" si="77"/>
        <v>6.640181611804763</v>
      </c>
      <c r="CB20" s="23">
        <f t="shared" si="77"/>
        <v>-2.397033505495969</v>
      </c>
      <c r="CC20" s="23">
        <f t="shared" si="77"/>
        <v>1.4347263131592314</v>
      </c>
      <c r="CD20" s="8"/>
      <c r="CE20" s="20">
        <v>15055</v>
      </c>
      <c r="CF20" s="10">
        <v>68.6</v>
      </c>
      <c r="CG20" s="11">
        <v>1031711</v>
      </c>
      <c r="CH20" s="23">
        <f t="shared" si="78"/>
        <v>-19.87759446514103</v>
      </c>
      <c r="CI20" s="23">
        <f t="shared" si="78"/>
        <v>-6.919945725915895</v>
      </c>
      <c r="CJ20" s="23">
        <f t="shared" si="78"/>
        <v>-22.984686679336946</v>
      </c>
      <c r="CK20" s="8"/>
      <c r="CL20" s="20">
        <v>15630</v>
      </c>
      <c r="CM20" s="10">
        <v>64.5</v>
      </c>
      <c r="CN20" s="11">
        <v>1000782</v>
      </c>
      <c r="CO20" s="23">
        <f t="shared" si="79"/>
        <v>3.819329126536033</v>
      </c>
      <c r="CP20" s="23">
        <f t="shared" si="79"/>
        <v>-5.976676384839649</v>
      </c>
      <c r="CQ20" s="23">
        <f t="shared" si="79"/>
        <v>-2.997835634203767</v>
      </c>
      <c r="CR20" s="8"/>
      <c r="CS20" s="20">
        <v>18507</v>
      </c>
      <c r="CT20" s="10">
        <v>80.1</v>
      </c>
      <c r="CU20" s="11">
        <v>1481475</v>
      </c>
      <c r="CV20" s="23">
        <f t="shared" si="80"/>
        <v>18.406909788867566</v>
      </c>
      <c r="CW20" s="23">
        <f t="shared" si="80"/>
        <v>24.186046511627893</v>
      </c>
      <c r="CX20" s="23">
        <f t="shared" si="80"/>
        <v>48.03173917996128</v>
      </c>
      <c r="CY20" s="8"/>
      <c r="CZ20" s="20">
        <v>20090</v>
      </c>
      <c r="DA20" s="10">
        <v>76.9</v>
      </c>
      <c r="DB20" s="11">
        <v>1544060</v>
      </c>
      <c r="DC20" s="23">
        <f t="shared" si="81"/>
        <v>8.553520289620138</v>
      </c>
      <c r="DD20" s="23">
        <f t="shared" si="81"/>
        <v>-3.9950062421972348</v>
      </c>
      <c r="DE20" s="23">
        <f t="shared" si="81"/>
        <v>4.224505982213671</v>
      </c>
      <c r="DF20" s="8"/>
      <c r="DG20" s="20">
        <v>20890</v>
      </c>
      <c r="DH20" s="10">
        <f>DI20/DG20</f>
        <v>74.09100047869794</v>
      </c>
      <c r="DI20" s="11">
        <v>1547761</v>
      </c>
      <c r="DJ20" s="23">
        <f t="shared" si="82"/>
        <v>3.9820806371328956</v>
      </c>
      <c r="DK20" s="23">
        <f t="shared" si="82"/>
        <v>-3.652795216257573</v>
      </c>
      <c r="DL20" s="23">
        <f t="shared" si="82"/>
        <v>0.2396927580534367</v>
      </c>
      <c r="DM20" s="8"/>
      <c r="DN20" s="20">
        <v>20520</v>
      </c>
      <c r="DO20" s="10">
        <v>75.3</v>
      </c>
      <c r="DP20" s="11">
        <v>1537600</v>
      </c>
      <c r="DQ20" s="23">
        <f t="shared" si="83"/>
        <v>-1.7711823839157432</v>
      </c>
      <c r="DR20" s="23">
        <f t="shared" si="83"/>
        <v>1.6317764822863552</v>
      </c>
      <c r="DS20" s="23">
        <f t="shared" si="83"/>
        <v>-0.6564967071789454</v>
      </c>
      <c r="DT20" s="8"/>
      <c r="DU20" s="20">
        <v>17281</v>
      </c>
      <c r="DV20" s="10">
        <v>59.6</v>
      </c>
      <c r="DW20" s="11">
        <v>1029529</v>
      </c>
      <c r="DX20" s="23">
        <f t="shared" si="84"/>
        <v>-15.784600389863542</v>
      </c>
      <c r="DY20" s="23">
        <f t="shared" si="84"/>
        <v>-20.849933598937582</v>
      </c>
      <c r="DZ20" s="23">
        <f t="shared" si="84"/>
        <v>-33.04311914672216</v>
      </c>
      <c r="EA20" s="8"/>
      <c r="EB20" s="20">
        <v>20954</v>
      </c>
      <c r="EC20" s="10">
        <v>74.2</v>
      </c>
      <c r="ED20" s="11">
        <v>1553830</v>
      </c>
      <c r="EE20" s="23">
        <f t="shared" si="85"/>
        <v>21.254557027949772</v>
      </c>
      <c r="EF20" s="23">
        <f t="shared" si="85"/>
        <v>24.496644295302005</v>
      </c>
      <c r="EG20" s="23">
        <f t="shared" si="85"/>
        <v>50.926297365105796</v>
      </c>
      <c r="EH20" s="8"/>
      <c r="EI20" s="20">
        <v>19509</v>
      </c>
      <c r="EJ20" s="10">
        <v>65.4</v>
      </c>
      <c r="EK20" s="11">
        <v>1275450</v>
      </c>
      <c r="EL20" s="23">
        <f t="shared" si="86"/>
        <v>-6.896058031879349</v>
      </c>
      <c r="EM20" s="23">
        <f t="shared" si="86"/>
        <v>-11.8598382749326</v>
      </c>
      <c r="EN20" s="23">
        <f t="shared" si="86"/>
        <v>-17.91573080710245</v>
      </c>
      <c r="EO20" s="8"/>
      <c r="EP20" s="20">
        <v>24370</v>
      </c>
      <c r="EQ20" s="10">
        <v>63.4</v>
      </c>
      <c r="ER20" s="11">
        <v>1544650</v>
      </c>
      <c r="ES20" s="23">
        <f t="shared" si="87"/>
        <v>24.916705110461834</v>
      </c>
      <c r="ET20" s="23">
        <f t="shared" si="87"/>
        <v>-3.0581039755351753</v>
      </c>
      <c r="EU20" s="23">
        <f t="shared" si="87"/>
        <v>21.106276216237404</v>
      </c>
      <c r="EV20" s="8"/>
      <c r="EW20" s="20">
        <v>18760</v>
      </c>
      <c r="EX20" s="10">
        <f>EY20/EW20</f>
        <v>65.23933901918977</v>
      </c>
      <c r="EY20" s="11">
        <v>1223890</v>
      </c>
      <c r="EZ20" s="11">
        <v>1223890</v>
      </c>
      <c r="FA20" s="23">
        <f t="shared" si="88"/>
        <v>-23.020106688551493</v>
      </c>
      <c r="FB20" s="23">
        <f t="shared" si="88"/>
        <v>2.9011656454097476</v>
      </c>
      <c r="FC20" s="23">
        <f>EZ20*100/ER20-100</f>
        <v>-20.765869290777843</v>
      </c>
      <c r="FD20" s="8"/>
      <c r="FE20" s="20">
        <v>22057</v>
      </c>
      <c r="FF20" s="10">
        <f t="shared" si="50"/>
        <v>68.41342884345106</v>
      </c>
      <c r="FG20" s="11">
        <v>1508995</v>
      </c>
      <c r="FH20" s="11">
        <v>1508995</v>
      </c>
      <c r="FI20" s="23">
        <f t="shared" si="89"/>
        <v>17.574626865671647</v>
      </c>
      <c r="FJ20" s="23">
        <f t="shared" si="89"/>
        <v>4.865300403070677</v>
      </c>
      <c r="FK20" s="23">
        <f t="shared" si="89"/>
        <v>23.29498566047603</v>
      </c>
      <c r="FL20" s="23">
        <f t="shared" si="89"/>
        <v>23.29498566047603</v>
      </c>
      <c r="FM20" s="23"/>
      <c r="FN20" s="20">
        <v>25584</v>
      </c>
      <c r="FO20" s="10">
        <f t="shared" si="51"/>
        <v>69.22963570981864</v>
      </c>
      <c r="FP20" s="11">
        <v>1771171</v>
      </c>
      <c r="FQ20" s="11">
        <v>1771171</v>
      </c>
      <c r="FR20" s="23">
        <f t="shared" si="52"/>
        <v>15.99038853878588</v>
      </c>
      <c r="FS20" s="23">
        <f t="shared" si="52"/>
        <v>1.1930506629557982</v>
      </c>
      <c r="FT20" s="23">
        <f t="shared" si="53"/>
        <v>17.374212638212853</v>
      </c>
      <c r="FU20" s="23">
        <f t="shared" si="53"/>
        <v>17.374212638212853</v>
      </c>
      <c r="FV20" s="23"/>
      <c r="FW20" s="20">
        <v>26730</v>
      </c>
      <c r="FX20" s="10">
        <f aca="true" t="shared" si="104" ref="FX20:FX26">FY20/FW20</f>
        <v>79.1952861952862</v>
      </c>
      <c r="FY20" s="20">
        <v>2116890</v>
      </c>
      <c r="FZ20" s="20">
        <v>2116890</v>
      </c>
      <c r="GA20" s="23">
        <f t="shared" si="54"/>
        <v>4.479362101313328</v>
      </c>
      <c r="GB20" s="23">
        <f t="shared" si="54"/>
        <v>14.395064170551692</v>
      </c>
      <c r="GC20" s="23">
        <f t="shared" si="54"/>
        <v>19.51923332078043</v>
      </c>
      <c r="GD20" s="23">
        <f t="shared" si="54"/>
        <v>19.51923332078043</v>
      </c>
      <c r="GE20" s="23"/>
      <c r="GF20" s="20">
        <v>28444</v>
      </c>
      <c r="GG20" s="10">
        <f t="shared" si="90"/>
        <v>82.54985234144283</v>
      </c>
      <c r="GH20" s="20">
        <v>2348048</v>
      </c>
      <c r="GI20" s="20">
        <v>2348048</v>
      </c>
      <c r="GJ20" s="23">
        <f t="shared" si="55"/>
        <v>6.4122708567152955</v>
      </c>
      <c r="GK20" s="23">
        <f t="shared" si="56"/>
        <v>4.235815421999561</v>
      </c>
      <c r="GL20" s="23">
        <f t="shared" si="57"/>
        <v>10.919698236564017</v>
      </c>
      <c r="GM20" s="23">
        <f t="shared" si="57"/>
        <v>10.919698236564017</v>
      </c>
      <c r="GN20" s="23"/>
      <c r="GO20" s="20">
        <v>23054</v>
      </c>
      <c r="GP20" s="10">
        <f t="shared" si="91"/>
        <v>42.500130129261734</v>
      </c>
      <c r="GQ20" s="20">
        <v>979798</v>
      </c>
      <c r="GR20" s="20">
        <v>979798</v>
      </c>
      <c r="GS20" s="23">
        <f t="shared" si="92"/>
        <v>-18.949514836169314</v>
      </c>
      <c r="GT20" s="23">
        <f t="shared" si="58"/>
        <v>-48.515801150712385</v>
      </c>
      <c r="GU20" s="23">
        <f t="shared" si="59"/>
        <v>-58.27180704994106</v>
      </c>
      <c r="GV20" s="23">
        <f t="shared" si="60"/>
        <v>-58.27180704994106</v>
      </c>
      <c r="GW20" s="23"/>
      <c r="GX20" s="20">
        <v>27971</v>
      </c>
      <c r="GY20" s="10">
        <f t="shared" si="93"/>
        <v>74.61306353008473</v>
      </c>
      <c r="GZ20" s="20">
        <v>2087002</v>
      </c>
      <c r="HA20" s="20">
        <v>2087002</v>
      </c>
      <c r="HB20" s="23">
        <f t="shared" si="94"/>
        <v>21.328185998091442</v>
      </c>
      <c r="HC20" s="23">
        <f t="shared" si="94"/>
        <v>75.55961194272425</v>
      </c>
      <c r="HD20" s="23">
        <f t="shared" si="62"/>
        <v>113.00329251539603</v>
      </c>
      <c r="HE20" s="23">
        <f t="shared" si="63"/>
        <v>113.00329251539603</v>
      </c>
      <c r="HF20" s="23"/>
      <c r="HG20" s="20">
        <v>31653</v>
      </c>
      <c r="HH20" s="10">
        <f t="shared" si="95"/>
        <v>83.29908697437841</v>
      </c>
      <c r="HI20" s="20">
        <v>2636666</v>
      </c>
      <c r="HJ20" s="20">
        <v>2636666</v>
      </c>
      <c r="HK20" s="23">
        <f t="shared" si="96"/>
        <v>13.163633763540815</v>
      </c>
      <c r="HL20" s="23">
        <f t="shared" si="97"/>
        <v>11.641424481641053</v>
      </c>
      <c r="HM20" s="23">
        <f t="shared" si="66"/>
        <v>26.33749272880428</v>
      </c>
      <c r="HN20" s="23">
        <f t="shared" si="66"/>
        <v>26.33749272880428</v>
      </c>
      <c r="HO20" s="23"/>
      <c r="HP20" s="20">
        <v>27281</v>
      </c>
      <c r="HQ20" s="10">
        <f t="shared" si="98"/>
        <v>74.14819837982479</v>
      </c>
      <c r="HR20" s="20">
        <v>2022837</v>
      </c>
      <c r="HS20" s="20">
        <v>2022837</v>
      </c>
      <c r="HT20" s="23">
        <f t="shared" si="99"/>
        <v>-13.812276877389195</v>
      </c>
      <c r="HU20" s="23">
        <f t="shared" si="100"/>
        <v>-10.985580907229277</v>
      </c>
      <c r="HV20" s="23">
        <f t="shared" si="64"/>
        <v>-23.28049893312236</v>
      </c>
      <c r="HW20" s="23">
        <f t="shared" si="65"/>
        <v>-23.28049893312236</v>
      </c>
      <c r="HX20" s="23"/>
      <c r="HY20" s="20">
        <v>28005</v>
      </c>
      <c r="HZ20" s="10">
        <f t="shared" si="101"/>
        <v>77.83074450990894</v>
      </c>
      <c r="IA20" s="20">
        <v>2179650</v>
      </c>
      <c r="IB20" s="20">
        <v>2179650</v>
      </c>
      <c r="IC20" s="23">
        <f t="shared" si="102"/>
        <v>2.6538616619625373</v>
      </c>
      <c r="ID20" s="23">
        <f t="shared" si="103"/>
        <v>4.966467440274499</v>
      </c>
      <c r="IE20" s="23">
        <f t="shared" si="42"/>
        <v>7.752132277588359</v>
      </c>
      <c r="IF20" s="23">
        <f t="shared" si="43"/>
        <v>7.752132277588359</v>
      </c>
      <c r="IG20" s="23"/>
      <c r="IH20" s="1" t="s">
        <v>20</v>
      </c>
      <c r="II20" s="29">
        <f t="shared" si="44"/>
        <v>24813.2</v>
      </c>
      <c r="IJ20" s="30">
        <f t="shared" si="45"/>
        <v>69.38398227429133</v>
      </c>
      <c r="IK20" s="29">
        <f t="shared" si="46"/>
        <v>1749256</v>
      </c>
      <c r="IL20" s="25">
        <f t="shared" si="47"/>
        <v>9.945512872180927</v>
      </c>
      <c r="IM20" s="25">
        <f t="shared" si="48"/>
        <v>6.866449502277604</v>
      </c>
      <c r="IN20" s="25">
        <f t="shared" si="49"/>
        <v>15.639849170161483</v>
      </c>
      <c r="IP20" s="30">
        <f>HP20*100/Italia!BR20</f>
        <v>60.12474104112487</v>
      </c>
      <c r="IQ20" s="30">
        <f>HR20*100/Italia!BT20</f>
        <v>68.39421912392895</v>
      </c>
      <c r="IR20" s="30">
        <f>HS20*100/Italia!BU20</f>
        <v>68.75311631701038</v>
      </c>
    </row>
    <row r="21" spans="1:252" ht="12">
      <c r="A21" s="1" t="s">
        <v>143</v>
      </c>
      <c r="B21" s="20"/>
      <c r="C21" s="10"/>
      <c r="D21" s="11"/>
      <c r="E21" s="9"/>
      <c r="F21" s="20"/>
      <c r="G21" s="10"/>
      <c r="H21" s="11"/>
      <c r="I21" s="23"/>
      <c r="J21" s="23"/>
      <c r="K21" s="23"/>
      <c r="L21" s="8"/>
      <c r="M21" s="20"/>
      <c r="N21" s="10"/>
      <c r="O21" s="11"/>
      <c r="P21" s="23"/>
      <c r="Q21" s="23"/>
      <c r="R21" s="23"/>
      <c r="S21" s="8"/>
      <c r="T21" s="20"/>
      <c r="U21" s="10"/>
      <c r="V21" s="11"/>
      <c r="W21" s="23"/>
      <c r="X21" s="23"/>
      <c r="Y21" s="23"/>
      <c r="Z21" s="8"/>
      <c r="AA21" s="20"/>
      <c r="AB21" s="10"/>
      <c r="AC21" s="11"/>
      <c r="AD21" s="23"/>
      <c r="AE21" s="23"/>
      <c r="AF21" s="23"/>
      <c r="AG21" s="8"/>
      <c r="AH21" s="20"/>
      <c r="AI21" s="10"/>
      <c r="AJ21" s="11"/>
      <c r="AK21" s="23"/>
      <c r="AL21" s="23"/>
      <c r="AM21" s="23"/>
      <c r="AN21" s="8"/>
      <c r="AO21" s="20"/>
      <c r="AP21" s="10"/>
      <c r="AQ21" s="11"/>
      <c r="AR21" s="23"/>
      <c r="AS21" s="23"/>
      <c r="AT21" s="23"/>
      <c r="AU21" s="8"/>
      <c r="AV21" s="20"/>
      <c r="AW21" s="10"/>
      <c r="AX21" s="11"/>
      <c r="AY21" s="23"/>
      <c r="AZ21" s="23"/>
      <c r="BA21" s="23"/>
      <c r="BB21" s="8"/>
      <c r="BC21" s="20"/>
      <c r="BD21" s="10"/>
      <c r="BE21" s="11"/>
      <c r="BF21" s="23"/>
      <c r="BG21" s="23"/>
      <c r="BH21" s="23"/>
      <c r="BI21" s="8"/>
      <c r="BJ21" s="20"/>
      <c r="BK21" s="10"/>
      <c r="BL21" s="11"/>
      <c r="BM21" s="23"/>
      <c r="BN21" s="23"/>
      <c r="BO21" s="23"/>
      <c r="BP21" s="8"/>
      <c r="BQ21" s="20"/>
      <c r="BR21" s="10"/>
      <c r="BS21" s="11"/>
      <c r="BT21" s="23"/>
      <c r="BU21" s="23"/>
      <c r="BV21" s="23"/>
      <c r="BW21" s="8"/>
      <c r="BX21" s="20"/>
      <c r="BY21" s="10"/>
      <c r="BZ21" s="11"/>
      <c r="CA21" s="23"/>
      <c r="CB21" s="23"/>
      <c r="CC21" s="23"/>
      <c r="CD21" s="8"/>
      <c r="CE21" s="20"/>
      <c r="CF21" s="10"/>
      <c r="CG21" s="11"/>
      <c r="CH21" s="23"/>
      <c r="CI21" s="23"/>
      <c r="CJ21" s="23"/>
      <c r="CK21" s="8"/>
      <c r="CL21" s="20"/>
      <c r="CM21" s="10"/>
      <c r="CN21" s="11"/>
      <c r="CO21" s="23"/>
      <c r="CP21" s="23"/>
      <c r="CQ21" s="23"/>
      <c r="CR21" s="8"/>
      <c r="CS21" s="20"/>
      <c r="CT21" s="10"/>
      <c r="CU21" s="11"/>
      <c r="CV21" s="23"/>
      <c r="CW21" s="23"/>
      <c r="CX21" s="23"/>
      <c r="CY21" s="8"/>
      <c r="CZ21" s="20"/>
      <c r="DA21" s="10"/>
      <c r="DB21" s="11"/>
      <c r="DC21" s="23"/>
      <c r="DD21" s="23"/>
      <c r="DE21" s="23"/>
      <c r="DF21" s="8"/>
      <c r="DG21" s="20"/>
      <c r="DH21" s="10"/>
      <c r="DI21" s="11"/>
      <c r="DJ21" s="23"/>
      <c r="DK21" s="23"/>
      <c r="DL21" s="23"/>
      <c r="DM21" s="8"/>
      <c r="DN21" s="20"/>
      <c r="DO21" s="10"/>
      <c r="DP21" s="11"/>
      <c r="DQ21" s="23"/>
      <c r="DR21" s="23"/>
      <c r="DS21" s="23"/>
      <c r="DT21" s="8"/>
      <c r="DU21" s="20"/>
      <c r="DV21" s="10"/>
      <c r="DW21" s="11"/>
      <c r="DX21" s="23"/>
      <c r="DY21" s="23"/>
      <c r="DZ21" s="23"/>
      <c r="EA21" s="8"/>
      <c r="EB21" s="20"/>
      <c r="EC21" s="10"/>
      <c r="ED21" s="11"/>
      <c r="EE21" s="23"/>
      <c r="EF21" s="23"/>
      <c r="EG21" s="23"/>
      <c r="EH21" s="8"/>
      <c r="EI21" s="20"/>
      <c r="EJ21" s="10"/>
      <c r="EK21" s="11"/>
      <c r="EL21" s="23"/>
      <c r="EM21" s="23"/>
      <c r="EN21" s="23"/>
      <c r="EO21" s="8"/>
      <c r="EP21" s="20">
        <v>460</v>
      </c>
      <c r="EQ21" s="10">
        <v>33.17391304347826</v>
      </c>
      <c r="ER21" s="11">
        <v>15260</v>
      </c>
      <c r="ES21" s="11" t="s">
        <v>1</v>
      </c>
      <c r="ET21" s="11" t="s">
        <v>1</v>
      </c>
      <c r="EU21" s="11" t="s">
        <v>1</v>
      </c>
      <c r="EV21" s="8"/>
      <c r="EW21" s="20">
        <v>821</v>
      </c>
      <c r="EX21" s="10">
        <f>EY21/EW21</f>
        <v>30.580998781973204</v>
      </c>
      <c r="EY21" s="11">
        <v>25107</v>
      </c>
      <c r="EZ21" s="11">
        <v>25107</v>
      </c>
      <c r="FA21" s="23">
        <f t="shared" si="88"/>
        <v>78.47826086956522</v>
      </c>
      <c r="FB21" s="23">
        <f t="shared" si="88"/>
        <v>-7.816124248311439</v>
      </c>
      <c r="FC21" s="23">
        <f>EZ21*100/ER21-100</f>
        <v>64.52817824377456</v>
      </c>
      <c r="FD21" s="8"/>
      <c r="FE21" s="20">
        <v>1257</v>
      </c>
      <c r="FF21" s="10">
        <f t="shared" si="50"/>
        <v>31.968973747016708</v>
      </c>
      <c r="FG21" s="11">
        <v>40185</v>
      </c>
      <c r="FH21" s="11">
        <v>40185</v>
      </c>
      <c r="FI21" s="23">
        <f>FE21*100/EW21-100</f>
        <v>53.1059683313033</v>
      </c>
      <c r="FJ21" s="23">
        <f>FF21*100/EX21-100</f>
        <v>4.538684216755158</v>
      </c>
      <c r="FK21" s="23">
        <f>FG21*100/EY21-100</f>
        <v>60.054964750866304</v>
      </c>
      <c r="FL21" s="23">
        <f>FH21*100/EZ21-100</f>
        <v>60.054964750866304</v>
      </c>
      <c r="FM21" s="23"/>
      <c r="FN21" s="20">
        <v>1570</v>
      </c>
      <c r="FO21" s="10">
        <f t="shared" si="51"/>
        <v>33.939490445859875</v>
      </c>
      <c r="FP21" s="11">
        <v>53285</v>
      </c>
      <c r="FQ21" s="11">
        <v>52585</v>
      </c>
      <c r="FR21" s="23">
        <f t="shared" si="52"/>
        <v>24.9005568814638</v>
      </c>
      <c r="FS21" s="23">
        <f t="shared" si="52"/>
        <v>6.163840961666935</v>
      </c>
      <c r="FT21" s="23">
        <f t="shared" si="53"/>
        <v>32.59922856787358</v>
      </c>
      <c r="FU21" s="23">
        <f t="shared" si="53"/>
        <v>30.857285056613165</v>
      </c>
      <c r="FV21" s="23"/>
      <c r="FW21" s="20">
        <v>2540</v>
      </c>
      <c r="FX21" s="10">
        <f t="shared" si="104"/>
        <v>41.059448818897636</v>
      </c>
      <c r="FY21" s="20">
        <v>104291</v>
      </c>
      <c r="FZ21" s="20">
        <v>104291</v>
      </c>
      <c r="GA21" s="23">
        <f t="shared" si="54"/>
        <v>61.78343949044586</v>
      </c>
      <c r="GB21" s="23">
        <f t="shared" si="54"/>
        <v>20.978389125775138</v>
      </c>
      <c r="GC21" s="23">
        <f t="shared" si="54"/>
        <v>95.72299896781459</v>
      </c>
      <c r="GD21" s="23">
        <f t="shared" si="54"/>
        <v>98.32842065227726</v>
      </c>
      <c r="GE21" s="23"/>
      <c r="GF21" s="20">
        <v>2540</v>
      </c>
      <c r="GG21" s="10">
        <f t="shared" si="90"/>
        <v>41.059448818897636</v>
      </c>
      <c r="GH21" s="20">
        <v>104291</v>
      </c>
      <c r="GI21" s="20">
        <v>104291</v>
      </c>
      <c r="GJ21" s="23">
        <f t="shared" si="55"/>
        <v>0</v>
      </c>
      <c r="GK21" s="23">
        <f t="shared" si="56"/>
        <v>0</v>
      </c>
      <c r="GL21" s="23">
        <f t="shared" si="57"/>
        <v>0</v>
      </c>
      <c r="GM21" s="23">
        <f t="shared" si="57"/>
        <v>0</v>
      </c>
      <c r="GN21" s="23"/>
      <c r="GO21" s="20">
        <v>2627</v>
      </c>
      <c r="GP21" s="10">
        <f t="shared" si="91"/>
        <v>44.04720213170918</v>
      </c>
      <c r="GQ21" s="20">
        <v>115712</v>
      </c>
      <c r="GR21" s="20">
        <v>115712</v>
      </c>
      <c r="GS21" s="23">
        <f t="shared" si="92"/>
        <v>3.4251968503937036</v>
      </c>
      <c r="GT21" s="23">
        <f t="shared" si="58"/>
        <v>7.276652265815173</v>
      </c>
      <c r="GU21" s="23">
        <f t="shared" si="59"/>
        <v>10.951088780431675</v>
      </c>
      <c r="GV21" s="23">
        <f t="shared" si="60"/>
        <v>10.951088780431675</v>
      </c>
      <c r="GW21" s="23"/>
      <c r="GX21" s="20">
        <v>2320</v>
      </c>
      <c r="GY21" s="10">
        <f t="shared" si="93"/>
        <v>41.71508620689655</v>
      </c>
      <c r="GZ21" s="20">
        <v>96779</v>
      </c>
      <c r="HA21" s="20">
        <v>96443</v>
      </c>
      <c r="HB21" s="23">
        <f t="shared" si="94"/>
        <v>-11.686334221545494</v>
      </c>
      <c r="HC21" s="23">
        <f t="shared" si="94"/>
        <v>-5.29458356478392</v>
      </c>
      <c r="HD21" s="23">
        <f>GZ21*100/GQ21-100</f>
        <v>-16.362175055309734</v>
      </c>
      <c r="HE21" s="23">
        <f>HA21*100/GR21-100</f>
        <v>-16.65255116150442</v>
      </c>
      <c r="HF21" s="23"/>
      <c r="HG21" s="20">
        <v>3160</v>
      </c>
      <c r="HH21" s="10">
        <f t="shared" si="95"/>
        <v>40.18227848101266</v>
      </c>
      <c r="HI21" s="20">
        <v>126976</v>
      </c>
      <c r="HJ21" s="20">
        <v>126376</v>
      </c>
      <c r="HK21" s="23">
        <f t="shared" si="96"/>
        <v>36.20689655172413</v>
      </c>
      <c r="HL21" s="23">
        <f t="shared" si="97"/>
        <v>-3.674468556247362</v>
      </c>
      <c r="HM21" s="23">
        <f t="shared" si="66"/>
        <v>31.202016966490675</v>
      </c>
      <c r="HN21" s="23">
        <f t="shared" si="66"/>
        <v>31.03698557697294</v>
      </c>
      <c r="HO21" s="23"/>
      <c r="HP21" s="20">
        <v>3114</v>
      </c>
      <c r="HQ21" s="10">
        <f t="shared" si="98"/>
        <v>35.434489402697494</v>
      </c>
      <c r="HR21" s="20">
        <v>110343</v>
      </c>
      <c r="HS21" s="20">
        <v>110343</v>
      </c>
      <c r="HT21" s="23">
        <f t="shared" si="99"/>
        <v>-1.455696202531641</v>
      </c>
      <c r="HU21" s="23">
        <f t="shared" si="100"/>
        <v>-11.815629321663877</v>
      </c>
      <c r="HV21" s="23">
        <f t="shared" si="64"/>
        <v>-13.099325856854833</v>
      </c>
      <c r="HW21" s="23">
        <f t="shared" si="65"/>
        <v>-12.6867443185415</v>
      </c>
      <c r="HX21" s="23"/>
      <c r="HY21" s="20">
        <v>2987</v>
      </c>
      <c r="HZ21" s="10">
        <f t="shared" si="101"/>
        <v>42.18346166722464</v>
      </c>
      <c r="IA21" s="20">
        <v>126002</v>
      </c>
      <c r="IB21" s="20">
        <v>125802</v>
      </c>
      <c r="IC21" s="23">
        <f t="shared" si="102"/>
        <v>-4.078355812459861</v>
      </c>
      <c r="ID21" s="23">
        <f t="shared" si="103"/>
        <v>19.046336996218628</v>
      </c>
      <c r="IE21" s="23">
        <f t="shared" si="42"/>
        <v>14.191203791812796</v>
      </c>
      <c r="IF21" s="23">
        <f t="shared" si="43"/>
        <v>14.009950789809963</v>
      </c>
      <c r="IG21" s="23"/>
      <c r="IH21" s="1" t="s">
        <v>143</v>
      </c>
      <c r="II21" s="29">
        <f t="shared" si="44"/>
        <v>1921.6666666666667</v>
      </c>
      <c r="IJ21" s="30">
        <f t="shared" si="45"/>
        <v>37.525204497304635</v>
      </c>
      <c r="IK21" s="29">
        <f t="shared" si="46"/>
        <v>75583.33333333333</v>
      </c>
      <c r="IL21" s="25">
        <f t="shared" si="47"/>
        <v>62.046834345186454</v>
      </c>
      <c r="IM21" s="25">
        <f t="shared" si="48"/>
        <v>-5.5714955391044185</v>
      </c>
      <c r="IN21" s="25">
        <f t="shared" si="49"/>
        <v>45.98853362734289</v>
      </c>
      <c r="IP21" s="30">
        <f>HP21*100/Italia!BR21</f>
        <v>8.426464619131377</v>
      </c>
      <c r="IQ21" s="30">
        <f>HR21*100/Italia!BT21</f>
        <v>8.587832600188657</v>
      </c>
      <c r="IR21" s="30">
        <f>HS21*100/Italia!BU21</f>
        <v>8.70911448693471</v>
      </c>
    </row>
    <row r="22" spans="1:252" ht="12">
      <c r="A22" s="1" t="s">
        <v>140</v>
      </c>
      <c r="B22" s="20" t="s">
        <v>1</v>
      </c>
      <c r="C22" s="10" t="s">
        <v>1</v>
      </c>
      <c r="D22" s="11" t="s">
        <v>1</v>
      </c>
      <c r="E22" s="6"/>
      <c r="F22" s="20" t="s">
        <v>1</v>
      </c>
      <c r="G22" s="10" t="s">
        <v>1</v>
      </c>
      <c r="H22" s="11" t="s">
        <v>1</v>
      </c>
      <c r="I22" s="24" t="s">
        <v>1</v>
      </c>
      <c r="J22" s="24" t="s">
        <v>1</v>
      </c>
      <c r="K22" s="24" t="s">
        <v>1</v>
      </c>
      <c r="L22" s="6"/>
      <c r="M22" s="20" t="s">
        <v>1</v>
      </c>
      <c r="N22" s="10" t="s">
        <v>1</v>
      </c>
      <c r="O22" s="11" t="s">
        <v>1</v>
      </c>
      <c r="P22" s="24" t="s">
        <v>1</v>
      </c>
      <c r="Q22" s="24" t="s">
        <v>1</v>
      </c>
      <c r="R22" s="24" t="s">
        <v>1</v>
      </c>
      <c r="S22" s="6"/>
      <c r="T22" s="20" t="s">
        <v>1</v>
      </c>
      <c r="U22" s="10" t="s">
        <v>1</v>
      </c>
      <c r="V22" s="11" t="s">
        <v>1</v>
      </c>
      <c r="W22" s="24" t="s">
        <v>1</v>
      </c>
      <c r="X22" s="24" t="s">
        <v>1</v>
      </c>
      <c r="Y22" s="24" t="s">
        <v>1</v>
      </c>
      <c r="Z22" s="6"/>
      <c r="AA22" s="20" t="s">
        <v>1</v>
      </c>
      <c r="AB22" s="10" t="s">
        <v>1</v>
      </c>
      <c r="AC22" s="11" t="s">
        <v>1</v>
      </c>
      <c r="AD22" s="24" t="s">
        <v>1</v>
      </c>
      <c r="AE22" s="24" t="s">
        <v>1</v>
      </c>
      <c r="AF22" s="24" t="s">
        <v>1</v>
      </c>
      <c r="AG22" s="6"/>
      <c r="AH22" s="20" t="s">
        <v>1</v>
      </c>
      <c r="AI22" s="10" t="s">
        <v>1</v>
      </c>
      <c r="AJ22" s="11" t="s">
        <v>1</v>
      </c>
      <c r="AK22" s="24" t="s">
        <v>1</v>
      </c>
      <c r="AL22" s="24" t="s">
        <v>1</v>
      </c>
      <c r="AM22" s="24" t="s">
        <v>1</v>
      </c>
      <c r="AN22" s="6"/>
      <c r="AO22" s="20" t="s">
        <v>1</v>
      </c>
      <c r="AP22" s="10" t="s">
        <v>1</v>
      </c>
      <c r="AQ22" s="11" t="s">
        <v>1</v>
      </c>
      <c r="AR22" s="24" t="s">
        <v>1</v>
      </c>
      <c r="AS22" s="24" t="s">
        <v>1</v>
      </c>
      <c r="AT22" s="24" t="s">
        <v>1</v>
      </c>
      <c r="AU22" s="6"/>
      <c r="AV22" s="20" t="s">
        <v>1</v>
      </c>
      <c r="AW22" s="10" t="s">
        <v>1</v>
      </c>
      <c r="AX22" s="11" t="s">
        <v>1</v>
      </c>
      <c r="AY22" s="24" t="s">
        <v>1</v>
      </c>
      <c r="AZ22" s="24" t="s">
        <v>1</v>
      </c>
      <c r="BA22" s="24" t="s">
        <v>1</v>
      </c>
      <c r="BB22" s="6"/>
      <c r="BC22" s="20" t="s">
        <v>1</v>
      </c>
      <c r="BD22" s="10" t="s">
        <v>1</v>
      </c>
      <c r="BE22" s="11" t="s">
        <v>1</v>
      </c>
      <c r="BF22" s="24" t="s">
        <v>1</v>
      </c>
      <c r="BG22" s="24" t="s">
        <v>1</v>
      </c>
      <c r="BH22" s="24" t="s">
        <v>1</v>
      </c>
      <c r="BI22" s="6"/>
      <c r="BJ22" s="20" t="s">
        <v>1</v>
      </c>
      <c r="BK22" s="10" t="s">
        <v>1</v>
      </c>
      <c r="BL22" s="11" t="s">
        <v>1</v>
      </c>
      <c r="BM22" s="24" t="s">
        <v>1</v>
      </c>
      <c r="BN22" s="24" t="s">
        <v>1</v>
      </c>
      <c r="BO22" s="24" t="s">
        <v>1</v>
      </c>
      <c r="BP22" s="6"/>
      <c r="BQ22" s="20" t="s">
        <v>1</v>
      </c>
      <c r="BR22" s="10" t="s">
        <v>1</v>
      </c>
      <c r="BS22" s="11" t="s">
        <v>1</v>
      </c>
      <c r="BT22" s="24" t="s">
        <v>1</v>
      </c>
      <c r="BU22" s="24" t="s">
        <v>1</v>
      </c>
      <c r="BV22" s="24" t="s">
        <v>1</v>
      </c>
      <c r="BW22" s="6"/>
      <c r="BX22" s="20" t="s">
        <v>1</v>
      </c>
      <c r="BY22" s="10" t="s">
        <v>1</v>
      </c>
      <c r="BZ22" s="11" t="s">
        <v>1</v>
      </c>
      <c r="CA22" s="24" t="s">
        <v>1</v>
      </c>
      <c r="CB22" s="24" t="s">
        <v>1</v>
      </c>
      <c r="CC22" s="24" t="s">
        <v>1</v>
      </c>
      <c r="CD22" s="6"/>
      <c r="CE22" s="20" t="s">
        <v>1</v>
      </c>
      <c r="CF22" s="10" t="s">
        <v>1</v>
      </c>
      <c r="CG22" s="11" t="s">
        <v>1</v>
      </c>
      <c r="CH22" s="24" t="s">
        <v>1</v>
      </c>
      <c r="CI22" s="24" t="s">
        <v>1</v>
      </c>
      <c r="CJ22" s="24" t="s">
        <v>1</v>
      </c>
      <c r="CK22" s="6"/>
      <c r="CL22" s="24" t="s">
        <v>1</v>
      </c>
      <c r="CM22" s="24" t="s">
        <v>1</v>
      </c>
      <c r="CN22" s="24" t="s">
        <v>1</v>
      </c>
      <c r="CO22" s="24" t="s">
        <v>1</v>
      </c>
      <c r="CP22" s="24" t="s">
        <v>1</v>
      </c>
      <c r="CQ22" s="24" t="s">
        <v>1</v>
      </c>
      <c r="CR22" s="6"/>
      <c r="CS22" s="20" t="s">
        <v>1</v>
      </c>
      <c r="CT22" s="10" t="s">
        <v>1</v>
      </c>
      <c r="CU22" s="10" t="s">
        <v>1</v>
      </c>
      <c r="CV22" s="11" t="s">
        <v>1</v>
      </c>
      <c r="CW22" s="11" t="s">
        <v>1</v>
      </c>
      <c r="CX22" s="11" t="s">
        <v>1</v>
      </c>
      <c r="CY22" s="11" t="s">
        <v>1</v>
      </c>
      <c r="CZ22" s="20" t="s">
        <v>1</v>
      </c>
      <c r="DA22" s="10" t="s">
        <v>1</v>
      </c>
      <c r="DB22" s="10" t="s">
        <v>1</v>
      </c>
      <c r="DC22" s="11" t="s">
        <v>1</v>
      </c>
      <c r="DD22" s="11" t="s">
        <v>1</v>
      </c>
      <c r="DE22" s="11" t="s">
        <v>1</v>
      </c>
      <c r="DF22" s="11" t="s">
        <v>1</v>
      </c>
      <c r="DG22" s="20" t="s">
        <v>1</v>
      </c>
      <c r="DH22" s="10" t="s">
        <v>1</v>
      </c>
      <c r="DI22" s="10" t="s">
        <v>1</v>
      </c>
      <c r="DJ22" s="11" t="s">
        <v>1</v>
      </c>
      <c r="DK22" s="11" t="s">
        <v>1</v>
      </c>
      <c r="DL22" s="11" t="s">
        <v>1</v>
      </c>
      <c r="DM22" s="11" t="s">
        <v>1</v>
      </c>
      <c r="DN22" s="20" t="s">
        <v>1</v>
      </c>
      <c r="DO22" s="10" t="s">
        <v>1</v>
      </c>
      <c r="DP22" s="10" t="s">
        <v>1</v>
      </c>
      <c r="DQ22" s="11" t="s">
        <v>1</v>
      </c>
      <c r="DR22" s="11" t="s">
        <v>1</v>
      </c>
      <c r="DS22" s="11" t="s">
        <v>1</v>
      </c>
      <c r="DT22" s="11" t="s">
        <v>1</v>
      </c>
      <c r="DU22" s="20" t="s">
        <v>1</v>
      </c>
      <c r="DV22" s="10" t="s">
        <v>1</v>
      </c>
      <c r="DW22" s="10" t="s">
        <v>1</v>
      </c>
      <c r="DX22" s="11" t="s">
        <v>1</v>
      </c>
      <c r="DY22" s="11" t="s">
        <v>1</v>
      </c>
      <c r="DZ22" s="11" t="s">
        <v>1</v>
      </c>
      <c r="EA22" s="11" t="s">
        <v>1</v>
      </c>
      <c r="EB22" s="20" t="s">
        <v>1</v>
      </c>
      <c r="EC22" s="10" t="s">
        <v>1</v>
      </c>
      <c r="ED22" s="10" t="s">
        <v>1</v>
      </c>
      <c r="EE22" s="11" t="s">
        <v>1</v>
      </c>
      <c r="EF22" s="11" t="s">
        <v>1</v>
      </c>
      <c r="EG22" s="11" t="s">
        <v>1</v>
      </c>
      <c r="EH22" s="11" t="s">
        <v>1</v>
      </c>
      <c r="EI22" s="20" t="s">
        <v>1</v>
      </c>
      <c r="EJ22" s="10" t="s">
        <v>1</v>
      </c>
      <c r="EK22" s="10" t="s">
        <v>1</v>
      </c>
      <c r="EL22" s="11" t="s">
        <v>1</v>
      </c>
      <c r="EM22" s="11" t="s">
        <v>1</v>
      </c>
      <c r="EN22" s="11" t="s">
        <v>1</v>
      </c>
      <c r="EO22" s="11"/>
      <c r="EP22" s="20" t="s">
        <v>1</v>
      </c>
      <c r="EQ22" s="10" t="s">
        <v>1</v>
      </c>
      <c r="ER22" s="10" t="s">
        <v>1</v>
      </c>
      <c r="ES22" s="11" t="s">
        <v>1</v>
      </c>
      <c r="ET22" s="11" t="s">
        <v>1</v>
      </c>
      <c r="EU22" s="11" t="s">
        <v>1</v>
      </c>
      <c r="EV22" s="11"/>
      <c r="EW22" s="20" t="s">
        <v>1</v>
      </c>
      <c r="EX22" s="10" t="s">
        <v>1</v>
      </c>
      <c r="EY22" s="10" t="s">
        <v>1</v>
      </c>
      <c r="EZ22" s="11" t="s">
        <v>1</v>
      </c>
      <c r="FA22" s="11" t="s">
        <v>1</v>
      </c>
      <c r="FB22" s="11" t="s">
        <v>1</v>
      </c>
      <c r="FC22" s="11" t="s">
        <v>1</v>
      </c>
      <c r="FE22" s="20" t="s">
        <v>1</v>
      </c>
      <c r="FF22" s="10" t="s">
        <v>1</v>
      </c>
      <c r="FG22" s="10" t="s">
        <v>1</v>
      </c>
      <c r="FH22" s="11" t="s">
        <v>1</v>
      </c>
      <c r="FI22" s="11" t="s">
        <v>1</v>
      </c>
      <c r="FJ22" s="11" t="s">
        <v>1</v>
      </c>
      <c r="FK22" s="11" t="s">
        <v>1</v>
      </c>
      <c r="FL22" s="11" t="s">
        <v>1</v>
      </c>
      <c r="FM22" s="11"/>
      <c r="FN22" s="20">
        <v>40</v>
      </c>
      <c r="FO22" s="10">
        <f t="shared" si="51"/>
        <v>21.875</v>
      </c>
      <c r="FP22" s="11">
        <v>875</v>
      </c>
      <c r="FQ22" s="11">
        <v>875</v>
      </c>
      <c r="FR22" s="11" t="s">
        <v>1</v>
      </c>
      <c r="FS22" s="11" t="s">
        <v>1</v>
      </c>
      <c r="FT22" s="11" t="s">
        <v>1</v>
      </c>
      <c r="FU22" s="11" t="s">
        <v>1</v>
      </c>
      <c r="FV22" s="23"/>
      <c r="FW22" s="11">
        <v>176</v>
      </c>
      <c r="FX22" s="10">
        <f t="shared" si="104"/>
        <v>18.607954545454547</v>
      </c>
      <c r="FY22" s="11">
        <v>3275</v>
      </c>
      <c r="FZ22" s="11">
        <v>3275</v>
      </c>
      <c r="GA22" s="23">
        <f>FW22*100/FN22-100</f>
        <v>340</v>
      </c>
      <c r="GB22" s="23">
        <f>FX22*100/FO22-100</f>
        <v>-14.93506493506493</v>
      </c>
      <c r="GC22" s="23">
        <f>FY22*100/FP22-100</f>
        <v>274.2857142857143</v>
      </c>
      <c r="GD22" s="23">
        <f>FZ22*100/FQ22-100</f>
        <v>274.2857142857143</v>
      </c>
      <c r="GE22" s="23"/>
      <c r="GF22" s="11">
        <v>170</v>
      </c>
      <c r="GG22" s="10">
        <f t="shared" si="90"/>
        <v>35.71764705882353</v>
      </c>
      <c r="GH22" s="11">
        <v>6072</v>
      </c>
      <c r="GI22" s="11">
        <v>6072</v>
      </c>
      <c r="GJ22" s="23">
        <f t="shared" si="55"/>
        <v>-3.4090909090909065</v>
      </c>
      <c r="GK22" s="23">
        <f t="shared" si="56"/>
        <v>91.94827121688371</v>
      </c>
      <c r="GL22" s="23">
        <f t="shared" si="57"/>
        <v>85.40458015267177</v>
      </c>
      <c r="GM22" s="23">
        <f t="shared" si="57"/>
        <v>85.40458015267177</v>
      </c>
      <c r="GN22" s="23"/>
      <c r="GO22" s="11">
        <v>135</v>
      </c>
      <c r="GP22" s="10">
        <f t="shared" si="91"/>
        <v>21.037037037037038</v>
      </c>
      <c r="GQ22" s="11">
        <v>2840</v>
      </c>
      <c r="GR22" s="11">
        <v>2840</v>
      </c>
      <c r="GS22" s="23">
        <f t="shared" si="92"/>
        <v>-20.588235294117652</v>
      </c>
      <c r="GT22" s="23">
        <f t="shared" si="58"/>
        <v>-41.10183965256429</v>
      </c>
      <c r="GU22" s="23">
        <f t="shared" si="59"/>
        <v>-53.227931488801055</v>
      </c>
      <c r="GV22" s="23">
        <f t="shared" si="60"/>
        <v>-53.227931488801055</v>
      </c>
      <c r="GW22" s="23"/>
      <c r="GX22" s="11">
        <v>0</v>
      </c>
      <c r="GY22" s="10" t="e">
        <f t="shared" si="93"/>
        <v>#DIV/0!</v>
      </c>
      <c r="GZ22" s="11">
        <v>0</v>
      </c>
      <c r="HA22" s="11">
        <v>0</v>
      </c>
      <c r="HB22" s="23">
        <f t="shared" si="94"/>
        <v>-100</v>
      </c>
      <c r="HC22" s="23" t="e">
        <f t="shared" si="94"/>
        <v>#DIV/0!</v>
      </c>
      <c r="HD22" s="23">
        <f t="shared" si="62"/>
        <v>-100</v>
      </c>
      <c r="HE22" s="23">
        <f t="shared" si="63"/>
        <v>-100</v>
      </c>
      <c r="HF22" s="23"/>
      <c r="HG22" s="20">
        <v>282</v>
      </c>
      <c r="HH22" s="10">
        <f t="shared" si="95"/>
        <v>22.340425531914892</v>
      </c>
      <c r="HI22" s="20">
        <v>6300</v>
      </c>
      <c r="HJ22" s="20">
        <v>6300</v>
      </c>
      <c r="HK22" s="23" t="e">
        <f t="shared" si="96"/>
        <v>#DIV/0!</v>
      </c>
      <c r="HL22" s="23" t="e">
        <f t="shared" si="97"/>
        <v>#DIV/0!</v>
      </c>
      <c r="HM22" s="23" t="e">
        <f aca="true" t="shared" si="105" ref="HM22:HM86">HI22*100/GZ22-100</f>
        <v>#DIV/0!</v>
      </c>
      <c r="HN22" s="23" t="e">
        <f aca="true" t="shared" si="106" ref="HN22:HN86">HJ22*100/HA22-100</f>
        <v>#DIV/0!</v>
      </c>
      <c r="HO22" s="23"/>
      <c r="HP22" s="11">
        <v>257</v>
      </c>
      <c r="HQ22" s="10">
        <f t="shared" si="98"/>
        <v>18.875486381322958</v>
      </c>
      <c r="HR22" s="11">
        <v>4851</v>
      </c>
      <c r="HS22" s="11">
        <v>4851</v>
      </c>
      <c r="HT22" s="23">
        <f t="shared" si="99"/>
        <v>-8.865248226950357</v>
      </c>
      <c r="HU22" s="23">
        <f t="shared" si="100"/>
        <v>-15.509727626459139</v>
      </c>
      <c r="HV22" s="23">
        <f t="shared" si="64"/>
        <v>-23</v>
      </c>
      <c r="HW22" s="23">
        <f t="shared" si="65"/>
        <v>-23</v>
      </c>
      <c r="HX22" s="23"/>
      <c r="HY22" s="11">
        <v>817</v>
      </c>
      <c r="HZ22" s="10">
        <f t="shared" si="101"/>
        <v>26.541003671970625</v>
      </c>
      <c r="IA22" s="11">
        <v>21684</v>
      </c>
      <c r="IB22" s="11">
        <v>21360</v>
      </c>
      <c r="IC22" s="23">
        <f t="shared" si="102"/>
        <v>217.89883268482492</v>
      </c>
      <c r="ID22" s="23">
        <f t="shared" si="103"/>
        <v>40.6109656503082</v>
      </c>
      <c r="IE22" s="23">
        <f t="shared" si="42"/>
        <v>347.00061842918984</v>
      </c>
      <c r="IF22" s="23">
        <f t="shared" si="43"/>
        <v>340.32158317872603</v>
      </c>
      <c r="IG22" s="23"/>
      <c r="IH22" s="1" t="s">
        <v>140</v>
      </c>
      <c r="II22" s="29">
        <f t="shared" si="44"/>
        <v>133.83333333333334</v>
      </c>
      <c r="IJ22" s="30" t="e">
        <f t="shared" si="45"/>
        <v>#DIV/0!</v>
      </c>
      <c r="IK22" s="29">
        <f t="shared" si="46"/>
        <v>3227</v>
      </c>
      <c r="IL22" s="25">
        <f t="shared" si="47"/>
        <v>92.02988792029888</v>
      </c>
      <c r="IM22" s="25" t="e">
        <f t="shared" si="48"/>
        <v>#DIV/0!</v>
      </c>
      <c r="IN22" s="25">
        <f t="shared" si="49"/>
        <v>50.325379609544456</v>
      </c>
      <c r="IP22" s="30">
        <f>HP22*100/Italia!BR22</f>
        <v>2.301423838094385</v>
      </c>
      <c r="IQ22" s="30">
        <f>HR22*100/Italia!BT22</f>
        <v>2.822005945351631</v>
      </c>
      <c r="IR22" s="30">
        <f>HS22*100/Italia!BU22</f>
        <v>2.8942014545584716</v>
      </c>
    </row>
    <row r="23" spans="1:252" ht="11.25" customHeight="1">
      <c r="A23" s="1" t="s">
        <v>21</v>
      </c>
      <c r="B23" s="20">
        <v>500</v>
      </c>
      <c r="C23" s="10">
        <v>17</v>
      </c>
      <c r="D23" s="11">
        <v>8500</v>
      </c>
      <c r="E23" s="9"/>
      <c r="F23" s="20">
        <v>100</v>
      </c>
      <c r="G23" s="10">
        <f>H23/F23</f>
        <v>32</v>
      </c>
      <c r="H23" s="11">
        <v>3200</v>
      </c>
      <c r="I23" s="23">
        <f aca="true" t="shared" si="107" ref="I23:K25">F23*100/B23-100</f>
        <v>-80</v>
      </c>
      <c r="J23" s="23">
        <f t="shared" si="107"/>
        <v>88.23529411764707</v>
      </c>
      <c r="K23" s="23">
        <f t="shared" si="107"/>
        <v>-62.35294117647059</v>
      </c>
      <c r="L23" s="8"/>
      <c r="M23" s="20">
        <v>617</v>
      </c>
      <c r="N23" s="10">
        <v>21.8</v>
      </c>
      <c r="O23" s="11">
        <v>13400</v>
      </c>
      <c r="P23" s="23">
        <f aca="true" t="shared" si="108" ref="P23:R25">M23*100/F23-100</f>
        <v>517</v>
      </c>
      <c r="Q23" s="23">
        <f t="shared" si="108"/>
        <v>-31.875</v>
      </c>
      <c r="R23" s="23">
        <f t="shared" si="108"/>
        <v>318.75</v>
      </c>
      <c r="S23" s="8"/>
      <c r="T23" s="20">
        <v>195</v>
      </c>
      <c r="U23" s="10">
        <v>28</v>
      </c>
      <c r="V23" s="11">
        <v>5500</v>
      </c>
      <c r="W23" s="23">
        <f aca="true" t="shared" si="109" ref="W23:Y25">T23*100/M23-100</f>
        <v>-68.39546191247973</v>
      </c>
      <c r="X23" s="23">
        <f t="shared" si="109"/>
        <v>28.44036697247705</v>
      </c>
      <c r="Y23" s="23">
        <f t="shared" si="109"/>
        <v>-58.95522388059702</v>
      </c>
      <c r="Z23" s="8"/>
      <c r="AA23" s="20">
        <v>75</v>
      </c>
      <c r="AB23" s="10">
        <f>AC23/AA23</f>
        <v>12</v>
      </c>
      <c r="AC23" s="11">
        <v>900</v>
      </c>
      <c r="AD23" s="23">
        <f aca="true" t="shared" si="110" ref="AD23:AF25">AA23*100/T23-100</f>
        <v>-61.53846153846154</v>
      </c>
      <c r="AE23" s="23">
        <f t="shared" si="110"/>
        <v>-57.142857142857146</v>
      </c>
      <c r="AF23" s="23">
        <f t="shared" si="110"/>
        <v>-83.63636363636364</v>
      </c>
      <c r="AG23" s="8"/>
      <c r="AH23" s="20">
        <v>140</v>
      </c>
      <c r="AI23" s="10">
        <v>13.6</v>
      </c>
      <c r="AJ23" s="11">
        <v>1900</v>
      </c>
      <c r="AK23" s="23">
        <f aca="true" t="shared" si="111" ref="AK23:AM25">AH23*100/AA23-100</f>
        <v>86.66666666666666</v>
      </c>
      <c r="AL23" s="23">
        <f t="shared" si="111"/>
        <v>13.333333333333329</v>
      </c>
      <c r="AM23" s="23">
        <f t="shared" si="111"/>
        <v>111.11111111111111</v>
      </c>
      <c r="AN23" s="8"/>
      <c r="AO23" s="20">
        <v>141</v>
      </c>
      <c r="AP23" s="10">
        <v>14.2</v>
      </c>
      <c r="AQ23" s="11">
        <v>2000</v>
      </c>
      <c r="AR23" s="23">
        <f aca="true" t="shared" si="112" ref="AR23:AT25">AO23*100/AH23-100</f>
        <v>0.7142857142857082</v>
      </c>
      <c r="AS23" s="23">
        <f t="shared" si="112"/>
        <v>4.411764705882362</v>
      </c>
      <c r="AT23" s="23">
        <f t="shared" si="112"/>
        <v>5.263157894736835</v>
      </c>
      <c r="AU23" s="8"/>
      <c r="AV23" s="20">
        <v>120</v>
      </c>
      <c r="AW23" s="10">
        <v>14.4</v>
      </c>
      <c r="AX23" s="11">
        <v>1725</v>
      </c>
      <c r="AY23" s="23">
        <f aca="true" t="shared" si="113" ref="AY23:BA26">AV23*100/AO23-100</f>
        <v>-14.893617021276597</v>
      </c>
      <c r="AZ23" s="23">
        <f t="shared" si="113"/>
        <v>1.4084507042253591</v>
      </c>
      <c r="BA23" s="23">
        <f t="shared" si="113"/>
        <v>-13.75</v>
      </c>
      <c r="BB23" s="8"/>
      <c r="BC23" s="20">
        <v>114</v>
      </c>
      <c r="BD23" s="10">
        <v>15.5</v>
      </c>
      <c r="BE23" s="11">
        <v>1768</v>
      </c>
      <c r="BF23" s="23">
        <f aca="true" t="shared" si="114" ref="BF23:BH26">BC23*100/AV23-100</f>
        <v>-5</v>
      </c>
      <c r="BG23" s="23">
        <f t="shared" si="114"/>
        <v>7.638888888888886</v>
      </c>
      <c r="BH23" s="23">
        <f t="shared" si="114"/>
        <v>2.492753623188406</v>
      </c>
      <c r="BI23" s="8"/>
      <c r="BJ23" s="20">
        <v>109</v>
      </c>
      <c r="BK23" s="10">
        <v>15.5</v>
      </c>
      <c r="BL23" s="11">
        <v>1690</v>
      </c>
      <c r="BM23" s="23">
        <f aca="true" t="shared" si="115" ref="BM23:BO26">BJ23*100/BC23-100</f>
        <v>-4.3859649122806985</v>
      </c>
      <c r="BN23" s="23">
        <f t="shared" si="115"/>
        <v>0</v>
      </c>
      <c r="BO23" s="23">
        <f t="shared" si="115"/>
        <v>-4.411764705882348</v>
      </c>
      <c r="BP23" s="8"/>
      <c r="BQ23" s="20">
        <v>170</v>
      </c>
      <c r="BR23" s="10">
        <v>24.37</v>
      </c>
      <c r="BS23" s="11">
        <v>4143</v>
      </c>
      <c r="BT23" s="23">
        <f aca="true" t="shared" si="116" ref="BT23:BV26">BQ23*100/BJ23-100</f>
        <v>55.96330275229357</v>
      </c>
      <c r="BU23" s="23">
        <f t="shared" si="116"/>
        <v>57.2258064516129</v>
      </c>
      <c r="BV23" s="23">
        <f t="shared" si="116"/>
        <v>145.14792899408283</v>
      </c>
      <c r="BW23" s="8"/>
      <c r="BX23" s="20">
        <v>181</v>
      </c>
      <c r="BY23" s="10">
        <v>26.39</v>
      </c>
      <c r="BZ23" s="11">
        <v>4777</v>
      </c>
      <c r="CA23" s="23">
        <f aca="true" t="shared" si="117" ref="CA23:CC26">BX23*100/BQ23-100</f>
        <v>6.470588235294116</v>
      </c>
      <c r="CB23" s="23">
        <f t="shared" si="117"/>
        <v>8.288879770209263</v>
      </c>
      <c r="CC23" s="23">
        <f t="shared" si="117"/>
        <v>15.302920588945213</v>
      </c>
      <c r="CD23" s="8"/>
      <c r="CE23" s="20">
        <v>176</v>
      </c>
      <c r="CF23" s="10">
        <v>27.3</v>
      </c>
      <c r="CG23" s="11">
        <v>4808</v>
      </c>
      <c r="CH23" s="23">
        <f aca="true" t="shared" si="118" ref="CH23:CI26">CE23*100/BX23-100</f>
        <v>-2.762430939226519</v>
      </c>
      <c r="CI23" s="23">
        <f t="shared" si="118"/>
        <v>3.448275862068968</v>
      </c>
      <c r="CJ23" s="23">
        <f>CG23*100/BZ23-100</f>
        <v>0.64894285116182</v>
      </c>
      <c r="CK23" s="8"/>
      <c r="CL23" s="20">
        <v>185</v>
      </c>
      <c r="CM23" s="10">
        <v>26.5</v>
      </c>
      <c r="CN23" s="11">
        <v>4903</v>
      </c>
      <c r="CO23" s="23">
        <f aca="true" t="shared" si="119" ref="CO23:CQ26">CL23*100/CE23-100</f>
        <v>5.11363636363636</v>
      </c>
      <c r="CP23" s="23">
        <f t="shared" si="119"/>
        <v>-2.930402930402934</v>
      </c>
      <c r="CQ23" s="23">
        <f t="shared" si="119"/>
        <v>1.9758735440931758</v>
      </c>
      <c r="CR23" s="8"/>
      <c r="CS23" s="20">
        <v>140</v>
      </c>
      <c r="CT23" s="10">
        <v>21.8</v>
      </c>
      <c r="CU23" s="11">
        <v>3056</v>
      </c>
      <c r="CV23" s="23">
        <f aca="true" t="shared" si="120" ref="CV23:CX26">CS23*100/CL23-100</f>
        <v>-24.324324324324323</v>
      </c>
      <c r="CW23" s="23">
        <f t="shared" si="120"/>
        <v>-17.73584905660377</v>
      </c>
      <c r="CX23" s="23">
        <f t="shared" si="120"/>
        <v>-37.67081378747705</v>
      </c>
      <c r="CY23" s="8"/>
      <c r="CZ23" s="20">
        <v>146</v>
      </c>
      <c r="DA23" s="10">
        <v>22.1</v>
      </c>
      <c r="DB23" s="11">
        <v>3226</v>
      </c>
      <c r="DC23" s="23">
        <f aca="true" t="shared" si="121" ref="DC23:DE26">CZ23*100/CS23-100</f>
        <v>4.285714285714292</v>
      </c>
      <c r="DD23" s="23">
        <f t="shared" si="121"/>
        <v>1.3761467889908232</v>
      </c>
      <c r="DE23" s="23">
        <f t="shared" si="121"/>
        <v>5.562827225130889</v>
      </c>
      <c r="DF23" s="8"/>
      <c r="DG23" s="20">
        <v>198</v>
      </c>
      <c r="DH23" s="10">
        <f>DI23/DG23</f>
        <v>20.86868686868687</v>
      </c>
      <c r="DI23" s="11">
        <v>4132</v>
      </c>
      <c r="DJ23" s="23">
        <f aca="true" t="shared" si="122" ref="DJ23:DL26">DG23*100/CZ23-100</f>
        <v>35.616438356164394</v>
      </c>
      <c r="DK23" s="23">
        <f t="shared" si="122"/>
        <v>-5.571552630376161</v>
      </c>
      <c r="DL23" s="23">
        <f t="shared" si="122"/>
        <v>28.084314941103543</v>
      </c>
      <c r="DM23" s="8"/>
      <c r="DN23" s="20">
        <v>415</v>
      </c>
      <c r="DO23" s="10">
        <v>29</v>
      </c>
      <c r="DP23" s="11">
        <v>12030</v>
      </c>
      <c r="DQ23" s="23">
        <f aca="true" t="shared" si="123" ref="DQ23:DS26">DN23*100/DG23-100</f>
        <v>109.59595959595958</v>
      </c>
      <c r="DR23" s="23">
        <f t="shared" si="123"/>
        <v>38.96418199419168</v>
      </c>
      <c r="DS23" s="23">
        <f t="shared" si="123"/>
        <v>191.1423039690223</v>
      </c>
      <c r="DT23" s="8"/>
      <c r="DU23" s="20">
        <v>1724</v>
      </c>
      <c r="DV23" s="10">
        <v>17.7</v>
      </c>
      <c r="DW23" s="11">
        <v>25620</v>
      </c>
      <c r="DX23" s="23">
        <f aca="true" t="shared" si="124" ref="DX23:DZ26">DU23*100/DN23-100</f>
        <v>315.421686746988</v>
      </c>
      <c r="DY23" s="23">
        <f t="shared" si="124"/>
        <v>-38.96551724137931</v>
      </c>
      <c r="DZ23" s="23">
        <f t="shared" si="124"/>
        <v>112.96758104738154</v>
      </c>
      <c r="EA23" s="8"/>
      <c r="EB23" s="20">
        <v>1575</v>
      </c>
      <c r="EC23" s="10">
        <v>28.9</v>
      </c>
      <c r="ED23" s="11">
        <v>41744</v>
      </c>
      <c r="EE23" s="23">
        <f aca="true" t="shared" si="125" ref="EE23:EG26">EB23*100/DU23-100</f>
        <v>-8.642691415313223</v>
      </c>
      <c r="EF23" s="23">
        <f t="shared" si="125"/>
        <v>63.27683615819208</v>
      </c>
      <c r="EG23" s="23">
        <f t="shared" si="125"/>
        <v>62.935206869633106</v>
      </c>
      <c r="EH23" s="8"/>
      <c r="EI23" s="20">
        <v>1328</v>
      </c>
      <c r="EJ23" s="10">
        <v>30</v>
      </c>
      <c r="EK23" s="11">
        <v>37740</v>
      </c>
      <c r="EL23" s="23">
        <f aca="true" t="shared" si="126" ref="EL23:EN26">EI23*100/EB23-100</f>
        <v>-15.682539682539684</v>
      </c>
      <c r="EM23" s="23">
        <f t="shared" si="126"/>
        <v>3.8062283737024245</v>
      </c>
      <c r="EN23" s="23">
        <f t="shared" si="126"/>
        <v>-9.591797623610574</v>
      </c>
      <c r="EO23" s="8"/>
      <c r="EP23" s="20">
        <v>1625</v>
      </c>
      <c r="EQ23" s="10">
        <v>32.8</v>
      </c>
      <c r="ER23" s="11">
        <v>52575</v>
      </c>
      <c r="ES23" s="23">
        <f t="shared" si="87"/>
        <v>22.364457831325296</v>
      </c>
      <c r="ET23" s="23">
        <f t="shared" si="87"/>
        <v>9.333333333333314</v>
      </c>
      <c r="EU23" s="23">
        <f t="shared" si="87"/>
        <v>39.308426073131955</v>
      </c>
      <c r="EV23" s="8"/>
      <c r="EW23" s="20">
        <v>1534</v>
      </c>
      <c r="EX23" s="10">
        <f>EY23/EW23</f>
        <v>28.05736636245111</v>
      </c>
      <c r="EY23" s="11">
        <v>43040</v>
      </c>
      <c r="EZ23" s="11">
        <v>43040</v>
      </c>
      <c r="FA23" s="23">
        <f aca="true" t="shared" si="127" ref="FA23:FB26">EW23*100/EP23-100</f>
        <v>-5.599999999999994</v>
      </c>
      <c r="FB23" s="23">
        <f t="shared" si="127"/>
        <v>-14.459248894966123</v>
      </c>
      <c r="FC23" s="23">
        <f>EZ23*100/ER23-100</f>
        <v>-18.135996195910607</v>
      </c>
      <c r="FD23" s="8"/>
      <c r="FE23" s="20">
        <v>1484</v>
      </c>
      <c r="FF23" s="10">
        <f t="shared" si="50"/>
        <v>30.913072776280323</v>
      </c>
      <c r="FG23" s="11">
        <v>45875</v>
      </c>
      <c r="FH23" s="11">
        <v>45875</v>
      </c>
      <c r="FI23" s="23">
        <f aca="true" t="shared" si="128" ref="FI23:FK26">FE23*100/EW23-100</f>
        <v>-3.2594524119947863</v>
      </c>
      <c r="FJ23" s="23">
        <f t="shared" si="128"/>
        <v>10.17809860319241</v>
      </c>
      <c r="FK23" s="23">
        <f t="shared" si="128"/>
        <v>6.586895910780669</v>
      </c>
      <c r="FL23" s="23">
        <f>FH23*100/EZ23-100</f>
        <v>6.586895910780669</v>
      </c>
      <c r="FM23" s="23"/>
      <c r="FN23" s="20">
        <v>1500</v>
      </c>
      <c r="FO23" s="10">
        <f t="shared" si="51"/>
        <v>28.543333333333333</v>
      </c>
      <c r="FP23" s="11">
        <v>42815</v>
      </c>
      <c r="FQ23" s="11">
        <v>42815</v>
      </c>
      <c r="FR23" s="23">
        <f t="shared" si="52"/>
        <v>1.0781671159029713</v>
      </c>
      <c r="FS23" s="23">
        <f t="shared" si="52"/>
        <v>-7.665816530426881</v>
      </c>
      <c r="FT23" s="23">
        <f t="shared" si="53"/>
        <v>-6.67029972752043</v>
      </c>
      <c r="FU23" s="23">
        <f t="shared" si="53"/>
        <v>-6.67029972752043</v>
      </c>
      <c r="FV23" s="23"/>
      <c r="FW23" s="20">
        <v>1733</v>
      </c>
      <c r="FX23" s="10">
        <f t="shared" si="104"/>
        <v>29.96249278707444</v>
      </c>
      <c r="FY23" s="20">
        <v>51925</v>
      </c>
      <c r="FZ23" s="20">
        <v>51925</v>
      </c>
      <c r="GA23" s="23">
        <f aca="true" t="shared" si="129" ref="GA23:GD26">FW23*100/FN23-100</f>
        <v>15.533333333333331</v>
      </c>
      <c r="GB23" s="23">
        <f t="shared" si="129"/>
        <v>4.97194716947719</v>
      </c>
      <c r="GC23" s="23">
        <f t="shared" si="129"/>
        <v>21.277589629802634</v>
      </c>
      <c r="GD23" s="23">
        <f t="shared" si="129"/>
        <v>21.277589629802634</v>
      </c>
      <c r="GE23" s="23"/>
      <c r="GF23" s="20">
        <v>1260</v>
      </c>
      <c r="GG23" s="10">
        <f t="shared" si="90"/>
        <v>19.742857142857144</v>
      </c>
      <c r="GH23" s="20">
        <v>24876</v>
      </c>
      <c r="GI23" s="20">
        <v>24876</v>
      </c>
      <c r="GJ23" s="23">
        <f t="shared" si="55"/>
        <v>-27.293710328909413</v>
      </c>
      <c r="GK23" s="23">
        <f t="shared" si="56"/>
        <v>-34.10809546736364</v>
      </c>
      <c r="GL23" s="23">
        <f t="shared" si="57"/>
        <v>-52.092441020702935</v>
      </c>
      <c r="GM23" s="23">
        <f t="shared" si="57"/>
        <v>-52.092441020702935</v>
      </c>
      <c r="GN23" s="23"/>
      <c r="GO23" s="20">
        <v>1033</v>
      </c>
      <c r="GP23" s="10">
        <f t="shared" si="91"/>
        <v>24.62729912875121</v>
      </c>
      <c r="GQ23" s="20">
        <v>25440</v>
      </c>
      <c r="GR23" s="20">
        <v>25440</v>
      </c>
      <c r="GS23" s="23">
        <f t="shared" si="92"/>
        <v>-18.015873015873012</v>
      </c>
      <c r="GT23" s="23">
        <f t="shared" si="58"/>
        <v>24.740299494398315</v>
      </c>
      <c r="GU23" s="23">
        <f t="shared" si="59"/>
        <v>2.2672455378678222</v>
      </c>
      <c r="GV23" s="23">
        <f t="shared" si="60"/>
        <v>2.2672455378678222</v>
      </c>
      <c r="GW23" s="23"/>
      <c r="GX23" s="20">
        <v>841</v>
      </c>
      <c r="GY23" s="10">
        <f t="shared" si="93"/>
        <v>26.956004756242567</v>
      </c>
      <c r="GZ23" s="20">
        <v>22670</v>
      </c>
      <c r="HA23" s="20">
        <v>22670</v>
      </c>
      <c r="HB23" s="23">
        <f t="shared" si="94"/>
        <v>-18.586640851887708</v>
      </c>
      <c r="HC23" s="23">
        <f t="shared" si="94"/>
        <v>9.455789753139044</v>
      </c>
      <c r="HD23" s="23">
        <f t="shared" si="62"/>
        <v>-10.888364779874209</v>
      </c>
      <c r="HE23" s="23">
        <f t="shared" si="63"/>
        <v>-10.888364779874209</v>
      </c>
      <c r="HF23" s="23"/>
      <c r="HG23" s="20">
        <v>1206</v>
      </c>
      <c r="HH23" s="10">
        <f t="shared" si="95"/>
        <v>25.21558872305141</v>
      </c>
      <c r="HI23" s="20">
        <v>30410</v>
      </c>
      <c r="HJ23" s="20">
        <v>30410</v>
      </c>
      <c r="HK23" s="23">
        <f t="shared" si="96"/>
        <v>43.400713436385246</v>
      </c>
      <c r="HL23" s="23">
        <f t="shared" si="97"/>
        <v>-6.4565058840483545</v>
      </c>
      <c r="HM23" s="23">
        <f t="shared" si="105"/>
        <v>34.1420379355977</v>
      </c>
      <c r="HN23" s="23">
        <f t="shared" si="106"/>
        <v>34.1420379355977</v>
      </c>
      <c r="HO23" s="23"/>
      <c r="HP23" s="20">
        <v>1679</v>
      </c>
      <c r="HQ23" s="10">
        <f t="shared" si="98"/>
        <v>21.688505062537224</v>
      </c>
      <c r="HR23" s="20">
        <v>36415</v>
      </c>
      <c r="HS23" s="20">
        <v>36415</v>
      </c>
      <c r="HT23" s="23">
        <f t="shared" si="99"/>
        <v>39.22056384742953</v>
      </c>
      <c r="HU23" s="23">
        <f t="shared" si="100"/>
        <v>-13.98771093252256</v>
      </c>
      <c r="HV23" s="23">
        <f t="shared" si="64"/>
        <v>19.74679381782309</v>
      </c>
      <c r="HW23" s="23">
        <f t="shared" si="65"/>
        <v>19.74679381782309</v>
      </c>
      <c r="HX23" s="23"/>
      <c r="HY23" s="20">
        <v>2042</v>
      </c>
      <c r="HZ23" s="10">
        <f t="shared" si="101"/>
        <v>27.539177277179235</v>
      </c>
      <c r="IA23" s="20">
        <v>56235</v>
      </c>
      <c r="IB23" s="20">
        <v>56235</v>
      </c>
      <c r="IC23" s="23">
        <f t="shared" si="102"/>
        <v>21.620011911852288</v>
      </c>
      <c r="ID23" s="23">
        <f t="shared" si="103"/>
        <v>26.97591280621704</v>
      </c>
      <c r="IE23" s="23">
        <f t="shared" si="42"/>
        <v>54.428120280104366</v>
      </c>
      <c r="IF23" s="23">
        <f t="shared" si="43"/>
        <v>54.428120280104366</v>
      </c>
      <c r="IG23" s="23"/>
      <c r="IH23" s="1" t="s">
        <v>21</v>
      </c>
      <c r="II23" s="29">
        <f t="shared" si="44"/>
        <v>1354.4</v>
      </c>
      <c r="IJ23" s="30">
        <f t="shared" si="45"/>
        <v>27.681801501004156</v>
      </c>
      <c r="IK23" s="29">
        <f t="shared" si="46"/>
        <v>37736.6</v>
      </c>
      <c r="IL23" s="25">
        <f t="shared" si="47"/>
        <v>23.96633195510927</v>
      </c>
      <c r="IM23" s="25">
        <f t="shared" si="48"/>
        <v>-21.65067341534663</v>
      </c>
      <c r="IN23" s="25">
        <f t="shared" si="49"/>
        <v>-3.5021703068108962</v>
      </c>
      <c r="IP23" s="30">
        <f>HP23*100/Italia!BR23</f>
        <v>3.9827312190146356</v>
      </c>
      <c r="IQ23" s="30">
        <f>HR23*100/Italia!BT23</f>
        <v>4.461906238091679</v>
      </c>
      <c r="IR23" s="30">
        <f>HS23*100/Italia!BU23</f>
        <v>4.564884922027779</v>
      </c>
    </row>
    <row r="24" spans="1:252" ht="12">
      <c r="A24" s="1" t="s">
        <v>22</v>
      </c>
      <c r="B24" s="20">
        <v>423</v>
      </c>
      <c r="C24" s="10">
        <v>17.3</v>
      </c>
      <c r="D24" s="11">
        <v>7300</v>
      </c>
      <c r="E24" s="9"/>
      <c r="F24" s="20">
        <v>360</v>
      </c>
      <c r="G24" s="10">
        <f>H24/F24</f>
        <v>18.055555555555557</v>
      </c>
      <c r="H24" s="11">
        <v>6500</v>
      </c>
      <c r="I24" s="23">
        <f t="shared" si="107"/>
        <v>-14.893617021276597</v>
      </c>
      <c r="J24" s="23">
        <f t="shared" si="107"/>
        <v>4.367373153500324</v>
      </c>
      <c r="K24" s="23">
        <f t="shared" si="107"/>
        <v>-10.958904109589042</v>
      </c>
      <c r="L24" s="8"/>
      <c r="M24" s="20">
        <v>235</v>
      </c>
      <c r="N24" s="10">
        <v>20.3</v>
      </c>
      <c r="O24" s="11">
        <v>4600</v>
      </c>
      <c r="P24" s="23">
        <f t="shared" si="108"/>
        <v>-34.72222222222223</v>
      </c>
      <c r="Q24" s="23">
        <f t="shared" si="108"/>
        <v>12.430769230769215</v>
      </c>
      <c r="R24" s="23">
        <f t="shared" si="108"/>
        <v>-29.230769230769226</v>
      </c>
      <c r="S24" s="8"/>
      <c r="T24" s="20">
        <v>184</v>
      </c>
      <c r="U24" s="10">
        <v>20.7</v>
      </c>
      <c r="V24" s="11">
        <v>3700</v>
      </c>
      <c r="W24" s="23">
        <f t="shared" si="109"/>
        <v>-21.702127659574472</v>
      </c>
      <c r="X24" s="23">
        <f t="shared" si="109"/>
        <v>1.970443349753694</v>
      </c>
      <c r="Y24" s="23">
        <f t="shared" si="109"/>
        <v>-19.565217391304344</v>
      </c>
      <c r="Z24" s="8"/>
      <c r="AA24" s="20">
        <v>186</v>
      </c>
      <c r="AB24" s="10">
        <f>4282/AA24</f>
        <v>23.021505376344088</v>
      </c>
      <c r="AC24" s="11">
        <v>4200</v>
      </c>
      <c r="AD24" s="23">
        <f t="shared" si="110"/>
        <v>1.0869565217391255</v>
      </c>
      <c r="AE24" s="23">
        <f t="shared" si="110"/>
        <v>11.215001818087387</v>
      </c>
      <c r="AF24" s="23">
        <f t="shared" si="110"/>
        <v>13.513513513513516</v>
      </c>
      <c r="AG24" s="8"/>
      <c r="AH24" s="20">
        <v>177</v>
      </c>
      <c r="AI24" s="10">
        <v>25.5</v>
      </c>
      <c r="AJ24" s="11">
        <v>4500</v>
      </c>
      <c r="AK24" s="23">
        <f t="shared" si="111"/>
        <v>-4.838709677419359</v>
      </c>
      <c r="AL24" s="23">
        <f t="shared" si="111"/>
        <v>10.765997197571224</v>
      </c>
      <c r="AM24" s="23">
        <f t="shared" si="111"/>
        <v>7.142857142857139</v>
      </c>
      <c r="AN24" s="8"/>
      <c r="AO24" s="20">
        <v>175</v>
      </c>
      <c r="AP24" s="10">
        <v>24.6</v>
      </c>
      <c r="AQ24" s="11">
        <v>4400</v>
      </c>
      <c r="AR24" s="23">
        <f t="shared" si="112"/>
        <v>-1.1299435028248581</v>
      </c>
      <c r="AS24" s="23">
        <f t="shared" si="112"/>
        <v>-3.529411764705884</v>
      </c>
      <c r="AT24" s="23">
        <f t="shared" si="112"/>
        <v>-2.2222222222222285</v>
      </c>
      <c r="AU24" s="8"/>
      <c r="AV24" s="20">
        <v>177</v>
      </c>
      <c r="AW24" s="10">
        <v>25.9</v>
      </c>
      <c r="AX24" s="11">
        <v>4578</v>
      </c>
      <c r="AY24" s="23">
        <f t="shared" si="113"/>
        <v>1.1428571428571388</v>
      </c>
      <c r="AZ24" s="23">
        <f t="shared" si="113"/>
        <v>5.284552845528452</v>
      </c>
      <c r="BA24" s="23">
        <f t="shared" si="113"/>
        <v>4.045454545454547</v>
      </c>
      <c r="BB24" s="8"/>
      <c r="BC24" s="20">
        <v>174</v>
      </c>
      <c r="BD24" s="10">
        <v>29.9</v>
      </c>
      <c r="BE24" s="11">
        <v>5206</v>
      </c>
      <c r="BF24" s="23">
        <f t="shared" si="114"/>
        <v>-1.6949152542372872</v>
      </c>
      <c r="BG24" s="23">
        <f t="shared" si="114"/>
        <v>15.444015444015449</v>
      </c>
      <c r="BH24" s="23">
        <f t="shared" si="114"/>
        <v>13.717780690257754</v>
      </c>
      <c r="BI24" s="8"/>
      <c r="BJ24" s="20">
        <v>154</v>
      </c>
      <c r="BK24" s="10">
        <v>30.9</v>
      </c>
      <c r="BL24" s="11">
        <v>4760</v>
      </c>
      <c r="BM24" s="23">
        <f t="shared" si="115"/>
        <v>-11.494252873563212</v>
      </c>
      <c r="BN24" s="23">
        <f t="shared" si="115"/>
        <v>3.3444816053511772</v>
      </c>
      <c r="BO24" s="23">
        <f t="shared" si="115"/>
        <v>-8.567038033038799</v>
      </c>
      <c r="BP24" s="8"/>
      <c r="BQ24" s="20">
        <v>85</v>
      </c>
      <c r="BR24" s="10">
        <v>32.15</v>
      </c>
      <c r="BS24" s="11">
        <v>2733</v>
      </c>
      <c r="BT24" s="23">
        <f t="shared" si="116"/>
        <v>-44.8051948051948</v>
      </c>
      <c r="BU24" s="23">
        <f t="shared" si="116"/>
        <v>4.045307443365701</v>
      </c>
      <c r="BV24" s="23">
        <f t="shared" si="116"/>
        <v>-42.58403361344538</v>
      </c>
      <c r="BW24" s="8"/>
      <c r="BX24" s="20">
        <v>48</v>
      </c>
      <c r="BY24" s="10">
        <v>35</v>
      </c>
      <c r="BZ24" s="11">
        <v>1680</v>
      </c>
      <c r="CA24" s="23">
        <f t="shared" si="117"/>
        <v>-43.529411764705884</v>
      </c>
      <c r="CB24" s="23">
        <f t="shared" si="117"/>
        <v>8.864696734059109</v>
      </c>
      <c r="CC24" s="23">
        <f t="shared" si="117"/>
        <v>-38.52908891328211</v>
      </c>
      <c r="CD24" s="8"/>
      <c r="CE24" s="20">
        <v>42</v>
      </c>
      <c r="CF24" s="10">
        <v>30</v>
      </c>
      <c r="CG24" s="11">
        <v>1260</v>
      </c>
      <c r="CH24" s="23">
        <f t="shared" si="118"/>
        <v>-12.5</v>
      </c>
      <c r="CI24" s="23">
        <f t="shared" si="118"/>
        <v>-14.285714285714292</v>
      </c>
      <c r="CJ24" s="23">
        <f>CG24*100/BZ24-100</f>
        <v>-25</v>
      </c>
      <c r="CK24" s="8"/>
      <c r="CL24" s="20">
        <v>40</v>
      </c>
      <c r="CM24" s="10">
        <v>38</v>
      </c>
      <c r="CN24" s="11">
        <v>1520</v>
      </c>
      <c r="CO24" s="23">
        <f t="shared" si="119"/>
        <v>-4.761904761904759</v>
      </c>
      <c r="CP24" s="23">
        <f t="shared" si="119"/>
        <v>26.66666666666667</v>
      </c>
      <c r="CQ24" s="23">
        <f t="shared" si="119"/>
        <v>20.634920634920633</v>
      </c>
      <c r="CR24" s="8"/>
      <c r="CS24" s="20">
        <v>35</v>
      </c>
      <c r="CT24" s="10">
        <v>30</v>
      </c>
      <c r="CU24" s="11">
        <v>1029</v>
      </c>
      <c r="CV24" s="23">
        <f t="shared" si="120"/>
        <v>-12.5</v>
      </c>
      <c r="CW24" s="23">
        <f t="shared" si="120"/>
        <v>-21.05263157894737</v>
      </c>
      <c r="CX24" s="23">
        <f t="shared" si="120"/>
        <v>-32.30263157894737</v>
      </c>
      <c r="CY24" s="8"/>
      <c r="CZ24" s="20">
        <v>36</v>
      </c>
      <c r="DA24" s="10">
        <v>35</v>
      </c>
      <c r="DB24" s="11">
        <v>1235</v>
      </c>
      <c r="DC24" s="23">
        <f t="shared" si="121"/>
        <v>2.857142857142861</v>
      </c>
      <c r="DD24" s="23">
        <f t="shared" si="121"/>
        <v>16.66666666666667</v>
      </c>
      <c r="DE24" s="23">
        <f t="shared" si="121"/>
        <v>20.01943634596695</v>
      </c>
      <c r="DF24" s="8"/>
      <c r="DG24" s="20">
        <v>34</v>
      </c>
      <c r="DH24" s="10">
        <v>35</v>
      </c>
      <c r="DI24" s="11">
        <v>1190</v>
      </c>
      <c r="DJ24" s="23">
        <f t="shared" si="122"/>
        <v>-5.555555555555557</v>
      </c>
      <c r="DK24" s="23">
        <f t="shared" si="122"/>
        <v>0</v>
      </c>
      <c r="DL24" s="23">
        <f t="shared" si="122"/>
        <v>-3.643724696356273</v>
      </c>
      <c r="DM24" s="8"/>
      <c r="DN24" s="20">
        <v>30</v>
      </c>
      <c r="DO24" s="10">
        <v>32</v>
      </c>
      <c r="DP24" s="11">
        <v>960</v>
      </c>
      <c r="DQ24" s="23">
        <f t="shared" si="123"/>
        <v>-11.764705882352942</v>
      </c>
      <c r="DR24" s="23">
        <f t="shared" si="123"/>
        <v>-8.57142857142857</v>
      </c>
      <c r="DS24" s="23">
        <f t="shared" si="123"/>
        <v>-19.327731092436977</v>
      </c>
      <c r="DT24" s="8"/>
      <c r="DU24" s="20">
        <v>30</v>
      </c>
      <c r="DV24" s="10">
        <v>29</v>
      </c>
      <c r="DW24" s="11">
        <v>870</v>
      </c>
      <c r="DX24" s="23">
        <f t="shared" si="124"/>
        <v>0</v>
      </c>
      <c r="DY24" s="23">
        <f t="shared" si="124"/>
        <v>-9.375</v>
      </c>
      <c r="DZ24" s="23">
        <f t="shared" si="124"/>
        <v>-9.375</v>
      </c>
      <c r="EA24" s="8"/>
      <c r="EB24" s="20">
        <v>25</v>
      </c>
      <c r="EC24" s="10">
        <v>30</v>
      </c>
      <c r="ED24" s="11">
        <v>750</v>
      </c>
      <c r="EE24" s="23">
        <f t="shared" si="125"/>
        <v>-16.66666666666667</v>
      </c>
      <c r="EF24" s="23">
        <f t="shared" si="125"/>
        <v>3.448275862068968</v>
      </c>
      <c r="EG24" s="23">
        <f t="shared" si="125"/>
        <v>-13.793103448275858</v>
      </c>
      <c r="EH24" s="8"/>
      <c r="EI24" s="20">
        <v>20</v>
      </c>
      <c r="EJ24" s="10">
        <v>30</v>
      </c>
      <c r="EK24" s="11">
        <v>600</v>
      </c>
      <c r="EL24" s="23">
        <f t="shared" si="126"/>
        <v>-20</v>
      </c>
      <c r="EM24" s="23">
        <f t="shared" si="126"/>
        <v>0</v>
      </c>
      <c r="EN24" s="23">
        <f t="shared" si="126"/>
        <v>-20</v>
      </c>
      <c r="EO24" s="8"/>
      <c r="EP24" s="20">
        <v>16</v>
      </c>
      <c r="EQ24" s="10">
        <v>30</v>
      </c>
      <c r="ER24" s="11">
        <v>480</v>
      </c>
      <c r="ES24" s="23">
        <f t="shared" si="87"/>
        <v>-20</v>
      </c>
      <c r="ET24" s="23">
        <f t="shared" si="87"/>
        <v>0</v>
      </c>
      <c r="EU24" s="23">
        <f t="shared" si="87"/>
        <v>-20</v>
      </c>
      <c r="EV24" s="8"/>
      <c r="EW24" s="20">
        <v>11</v>
      </c>
      <c r="EX24" s="10">
        <f>EY24/EW24</f>
        <v>25</v>
      </c>
      <c r="EY24" s="11">
        <v>275</v>
      </c>
      <c r="EZ24" s="11">
        <v>275</v>
      </c>
      <c r="FA24" s="23">
        <f t="shared" si="127"/>
        <v>-31.25</v>
      </c>
      <c r="FB24" s="23">
        <f t="shared" si="127"/>
        <v>-16.66666666666667</v>
      </c>
      <c r="FC24" s="23">
        <f>EZ24*100/ER24-100</f>
        <v>-42.708333333333336</v>
      </c>
      <c r="FD24" s="8"/>
      <c r="FE24" s="20">
        <v>17</v>
      </c>
      <c r="FF24" s="10">
        <f t="shared" si="50"/>
        <v>25</v>
      </c>
      <c r="FG24" s="11">
        <v>425</v>
      </c>
      <c r="FH24" s="11">
        <v>425</v>
      </c>
      <c r="FI24" s="23">
        <f t="shared" si="128"/>
        <v>54.54545454545453</v>
      </c>
      <c r="FJ24" s="23">
        <f t="shared" si="128"/>
        <v>0</v>
      </c>
      <c r="FK24" s="23">
        <f t="shared" si="128"/>
        <v>54.54545454545453</v>
      </c>
      <c r="FL24" s="23">
        <f>FH24*100/EZ24-100</f>
        <v>54.54545454545453</v>
      </c>
      <c r="FM24" s="23"/>
      <c r="FN24" s="20">
        <v>28</v>
      </c>
      <c r="FO24" s="10">
        <f t="shared" si="51"/>
        <v>25</v>
      </c>
      <c r="FP24" s="11">
        <v>700</v>
      </c>
      <c r="FQ24" s="11">
        <v>700</v>
      </c>
      <c r="FR24" s="23">
        <f t="shared" si="52"/>
        <v>64.70588235294119</v>
      </c>
      <c r="FS24" s="23">
        <f t="shared" si="52"/>
        <v>0</v>
      </c>
      <c r="FT24" s="23">
        <f t="shared" si="53"/>
        <v>64.70588235294119</v>
      </c>
      <c r="FU24" s="23">
        <f t="shared" si="53"/>
        <v>64.70588235294119</v>
      </c>
      <c r="FV24" s="23"/>
      <c r="FW24" s="20">
        <v>164</v>
      </c>
      <c r="FX24" s="10">
        <f t="shared" si="104"/>
        <v>28.96951219512195</v>
      </c>
      <c r="FY24" s="20">
        <v>4751</v>
      </c>
      <c r="FZ24" s="20">
        <v>4751</v>
      </c>
      <c r="GA24" s="23">
        <f t="shared" si="129"/>
        <v>485.71428571428567</v>
      </c>
      <c r="GB24" s="23">
        <f t="shared" si="129"/>
        <v>15.878048780487802</v>
      </c>
      <c r="GC24" s="23">
        <f t="shared" si="129"/>
        <v>578.7142857142857</v>
      </c>
      <c r="GD24" s="23">
        <f t="shared" si="129"/>
        <v>578.7142857142857</v>
      </c>
      <c r="GE24" s="23"/>
      <c r="GF24" s="20">
        <v>47</v>
      </c>
      <c r="GG24" s="10">
        <f t="shared" si="90"/>
        <v>30.97872340425532</v>
      </c>
      <c r="GH24" s="20">
        <v>1456</v>
      </c>
      <c r="GI24" s="20">
        <v>1456</v>
      </c>
      <c r="GJ24" s="23">
        <f t="shared" si="55"/>
        <v>-71.34146341463415</v>
      </c>
      <c r="GK24" s="23">
        <f t="shared" si="56"/>
        <v>6.9356059418621925</v>
      </c>
      <c r="GL24" s="23">
        <f t="shared" si="57"/>
        <v>-69.35382024836876</v>
      </c>
      <c r="GM24" s="23">
        <f t="shared" si="57"/>
        <v>-69.35382024836876</v>
      </c>
      <c r="GN24" s="23"/>
      <c r="GO24" s="20">
        <v>96</v>
      </c>
      <c r="GP24" s="10">
        <f t="shared" si="91"/>
        <v>36.458333333333336</v>
      </c>
      <c r="GQ24" s="20">
        <v>3500</v>
      </c>
      <c r="GR24" s="20">
        <v>3500</v>
      </c>
      <c r="GS24" s="23">
        <f t="shared" si="92"/>
        <v>104.25531914893617</v>
      </c>
      <c r="GT24" s="23">
        <f t="shared" si="58"/>
        <v>17.688301282051285</v>
      </c>
      <c r="GU24" s="23">
        <f t="shared" si="59"/>
        <v>140.3846153846154</v>
      </c>
      <c r="GV24" s="23">
        <f t="shared" si="60"/>
        <v>140.3846153846154</v>
      </c>
      <c r="GW24" s="23"/>
      <c r="GX24" s="20">
        <v>314</v>
      </c>
      <c r="GY24" s="10">
        <f t="shared" si="93"/>
        <v>41.06369426751592</v>
      </c>
      <c r="GZ24" s="20">
        <v>12894</v>
      </c>
      <c r="HA24" s="20">
        <v>12894</v>
      </c>
      <c r="HB24" s="23">
        <f t="shared" si="94"/>
        <v>227.08333333333331</v>
      </c>
      <c r="HC24" s="23">
        <f t="shared" si="94"/>
        <v>12.631847133757944</v>
      </c>
      <c r="HD24" s="23">
        <f t="shared" si="62"/>
        <v>268.4</v>
      </c>
      <c r="HE24" s="23">
        <f t="shared" si="63"/>
        <v>268.4</v>
      </c>
      <c r="HF24" s="23"/>
      <c r="HG24" s="20">
        <v>350</v>
      </c>
      <c r="HH24" s="10">
        <f t="shared" si="95"/>
        <v>48.83714285714286</v>
      </c>
      <c r="HI24" s="20">
        <v>17093</v>
      </c>
      <c r="HJ24" s="20">
        <v>17093</v>
      </c>
      <c r="HK24" s="23">
        <f t="shared" si="96"/>
        <v>11.464968152866248</v>
      </c>
      <c r="HL24" s="23">
        <f t="shared" si="97"/>
        <v>18.930222251767177</v>
      </c>
      <c r="HM24" s="23">
        <f t="shared" si="105"/>
        <v>32.5655343570653</v>
      </c>
      <c r="HN24" s="23">
        <f t="shared" si="106"/>
        <v>32.5655343570653</v>
      </c>
      <c r="HO24" s="23"/>
      <c r="HP24" s="20">
        <v>395</v>
      </c>
      <c r="HQ24" s="10">
        <f t="shared" si="98"/>
        <v>50.92911392405063</v>
      </c>
      <c r="HR24" s="20">
        <v>20117</v>
      </c>
      <c r="HS24" s="20">
        <v>20117</v>
      </c>
      <c r="HT24" s="23">
        <f t="shared" si="99"/>
        <v>12.857142857142861</v>
      </c>
      <c r="HU24" s="23">
        <f t="shared" si="100"/>
        <v>4.283565631648756</v>
      </c>
      <c r="HV24" s="23">
        <f t="shared" si="64"/>
        <v>17.691452641432164</v>
      </c>
      <c r="HW24" s="23">
        <f t="shared" si="65"/>
        <v>17.691452641432164</v>
      </c>
      <c r="HX24" s="23"/>
      <c r="HY24" s="20">
        <v>349</v>
      </c>
      <c r="HZ24" s="10">
        <f t="shared" si="101"/>
        <v>30.08595988538682</v>
      </c>
      <c r="IA24" s="20">
        <v>10500</v>
      </c>
      <c r="IB24" s="20">
        <v>10500</v>
      </c>
      <c r="IC24" s="23">
        <f t="shared" si="102"/>
        <v>-11.64556962025317</v>
      </c>
      <c r="ID24" s="23">
        <f t="shared" si="103"/>
        <v>-40.925813219029706</v>
      </c>
      <c r="IE24" s="23">
        <f t="shared" si="42"/>
        <v>-47.80533876820599</v>
      </c>
      <c r="IF24" s="23">
        <f t="shared" si="43"/>
        <v>-47.80533876820599</v>
      </c>
      <c r="IG24" s="23"/>
      <c r="IH24" s="1" t="s">
        <v>22</v>
      </c>
      <c r="II24" s="29">
        <f t="shared" si="44"/>
        <v>106.3</v>
      </c>
      <c r="IJ24" s="30">
        <f t="shared" si="45"/>
        <v>32.13074060573693</v>
      </c>
      <c r="IK24" s="29">
        <f t="shared" si="46"/>
        <v>4217.4</v>
      </c>
      <c r="IL24" s="25">
        <f t="shared" si="47"/>
        <v>271.58984007525873</v>
      </c>
      <c r="IM24" s="25">
        <f t="shared" si="48"/>
        <v>58.50588241640861</v>
      </c>
      <c r="IN24" s="25">
        <f t="shared" si="49"/>
        <v>377.00004742258267</v>
      </c>
      <c r="IP24" s="30">
        <f>HP24*100/Italia!BR24</f>
        <v>6.729131175468484</v>
      </c>
      <c r="IQ24" s="30">
        <f>HR24*100/Italia!BT24</f>
        <v>16.31628465294337</v>
      </c>
      <c r="IR24" s="30">
        <f>HS24*100/Italia!BU24</f>
        <v>16.469230202457656</v>
      </c>
    </row>
    <row r="25" spans="1:252" ht="12">
      <c r="A25" s="1" t="s">
        <v>23</v>
      </c>
      <c r="B25" s="20">
        <v>170</v>
      </c>
      <c r="C25" s="10">
        <f>D25/B25</f>
        <v>30.58823529411765</v>
      </c>
      <c r="D25" s="11">
        <v>5200</v>
      </c>
      <c r="E25" s="9"/>
      <c r="F25" s="20">
        <v>171</v>
      </c>
      <c r="G25" s="10">
        <f>H25/F25</f>
        <v>30.01169590643275</v>
      </c>
      <c r="H25" s="11">
        <v>5132</v>
      </c>
      <c r="I25" s="23">
        <f t="shared" si="107"/>
        <v>0.5882352941176521</v>
      </c>
      <c r="J25" s="23">
        <f t="shared" si="107"/>
        <v>-1.8848403058929364</v>
      </c>
      <c r="K25" s="23">
        <f t="shared" si="107"/>
        <v>-1.3076923076923066</v>
      </c>
      <c r="L25" s="8"/>
      <c r="M25" s="20">
        <v>270</v>
      </c>
      <c r="N25" s="10">
        <v>27.4</v>
      </c>
      <c r="O25" s="11">
        <v>7300</v>
      </c>
      <c r="P25" s="23">
        <f t="shared" si="108"/>
        <v>57.89473684210526</v>
      </c>
      <c r="Q25" s="23">
        <f t="shared" si="108"/>
        <v>-8.702260327357763</v>
      </c>
      <c r="R25" s="23">
        <f t="shared" si="108"/>
        <v>42.24473889321902</v>
      </c>
      <c r="S25" s="8"/>
      <c r="T25" s="20">
        <v>960</v>
      </c>
      <c r="U25" s="10">
        <v>30.2</v>
      </c>
      <c r="V25" s="11">
        <v>29000</v>
      </c>
      <c r="W25" s="23">
        <f t="shared" si="109"/>
        <v>255.55555555555554</v>
      </c>
      <c r="X25" s="23">
        <f t="shared" si="109"/>
        <v>10.21897810218978</v>
      </c>
      <c r="Y25" s="23">
        <f t="shared" si="109"/>
        <v>297.26027397260276</v>
      </c>
      <c r="Z25" s="8"/>
      <c r="AA25" s="20">
        <v>2025</v>
      </c>
      <c r="AB25" s="10">
        <v>24.1</v>
      </c>
      <c r="AC25" s="11">
        <v>48700</v>
      </c>
      <c r="AD25" s="23">
        <f t="shared" si="110"/>
        <v>110.9375</v>
      </c>
      <c r="AE25" s="23">
        <f t="shared" si="110"/>
        <v>-20.198675496688736</v>
      </c>
      <c r="AF25" s="23">
        <f t="shared" si="110"/>
        <v>67.93103448275863</v>
      </c>
      <c r="AG25" s="8"/>
      <c r="AH25" s="20">
        <v>1904</v>
      </c>
      <c r="AI25" s="10">
        <v>41</v>
      </c>
      <c r="AJ25" s="11">
        <v>77900</v>
      </c>
      <c r="AK25" s="23">
        <f t="shared" si="111"/>
        <v>-5.975308641975303</v>
      </c>
      <c r="AL25" s="23">
        <f t="shared" si="111"/>
        <v>70.12448132780082</v>
      </c>
      <c r="AM25" s="23">
        <f t="shared" si="111"/>
        <v>59.95893223819303</v>
      </c>
      <c r="AN25" s="8"/>
      <c r="AO25" s="20">
        <v>95</v>
      </c>
      <c r="AP25" s="10">
        <v>27.1</v>
      </c>
      <c r="AQ25" s="11">
        <v>2570</v>
      </c>
      <c r="AR25" s="23">
        <f t="shared" si="112"/>
        <v>-95.01050420168067</v>
      </c>
      <c r="AS25" s="23">
        <f t="shared" si="112"/>
        <v>-33.90243902439025</v>
      </c>
      <c r="AT25" s="23">
        <f t="shared" si="112"/>
        <v>-96.70089858793325</v>
      </c>
      <c r="AU25" s="8"/>
      <c r="AV25" s="20">
        <v>100</v>
      </c>
      <c r="AW25" s="10">
        <v>25</v>
      </c>
      <c r="AX25" s="11">
        <v>2500</v>
      </c>
      <c r="AY25" s="23">
        <f t="shared" si="113"/>
        <v>5.263157894736835</v>
      </c>
      <c r="AZ25" s="23">
        <f t="shared" si="113"/>
        <v>-7.7490774907749085</v>
      </c>
      <c r="BA25" s="23">
        <f t="shared" si="113"/>
        <v>-2.723735408560316</v>
      </c>
      <c r="BB25" s="8"/>
      <c r="BC25" s="20">
        <f>1984-BC26</f>
        <v>69</v>
      </c>
      <c r="BD25" s="10">
        <v>29.405797101449274</v>
      </c>
      <c r="BE25" s="11">
        <v>2029</v>
      </c>
      <c r="BF25" s="23">
        <f t="shared" si="114"/>
        <v>-31</v>
      </c>
      <c r="BG25" s="23">
        <f t="shared" si="114"/>
        <v>17.623188405797094</v>
      </c>
      <c r="BH25" s="23">
        <f t="shared" si="114"/>
        <v>-18.840000000000003</v>
      </c>
      <c r="BI25" s="8"/>
      <c r="BJ25" s="20">
        <v>77</v>
      </c>
      <c r="BK25" s="10">
        <v>31.3</v>
      </c>
      <c r="BL25" s="11">
        <v>2410</v>
      </c>
      <c r="BM25" s="23">
        <f t="shared" si="115"/>
        <v>11.59420289855072</v>
      </c>
      <c r="BN25" s="23">
        <f t="shared" si="115"/>
        <v>6.441596845736825</v>
      </c>
      <c r="BO25" s="23">
        <f t="shared" si="115"/>
        <v>18.777723016264176</v>
      </c>
      <c r="BP25" s="8"/>
      <c r="BQ25" s="20">
        <v>79</v>
      </c>
      <c r="BR25" s="10">
        <v>31.94</v>
      </c>
      <c r="BS25" s="11">
        <v>2523</v>
      </c>
      <c r="BT25" s="23">
        <f t="shared" si="116"/>
        <v>2.597402597402592</v>
      </c>
      <c r="BU25" s="23">
        <f t="shared" si="116"/>
        <v>2.0447284345047905</v>
      </c>
      <c r="BV25" s="23">
        <f t="shared" si="116"/>
        <v>4.68879668049793</v>
      </c>
      <c r="BW25" s="8"/>
      <c r="BX25" s="20">
        <v>719</v>
      </c>
      <c r="BY25" s="10">
        <v>35.3</v>
      </c>
      <c r="BZ25" s="11">
        <v>25407</v>
      </c>
      <c r="CA25" s="23">
        <f t="shared" si="117"/>
        <v>810.126582278481</v>
      </c>
      <c r="CB25" s="23">
        <f t="shared" si="117"/>
        <v>10.519724483406364</v>
      </c>
      <c r="CC25" s="23">
        <f t="shared" si="117"/>
        <v>907.0154577883472</v>
      </c>
      <c r="CD25" s="8"/>
      <c r="CE25" s="20">
        <v>678</v>
      </c>
      <c r="CF25" s="10">
        <v>35.2</v>
      </c>
      <c r="CG25" s="11">
        <v>21315</v>
      </c>
      <c r="CH25" s="23">
        <f t="shared" si="118"/>
        <v>-5.70236439499304</v>
      </c>
      <c r="CI25" s="23">
        <f t="shared" si="118"/>
        <v>-0.28328611898014344</v>
      </c>
      <c r="CJ25" s="23">
        <f>CG25*100/BZ25-100</f>
        <v>-16.105797614830564</v>
      </c>
      <c r="CK25" s="8"/>
      <c r="CL25" s="20">
        <v>587</v>
      </c>
      <c r="CM25" s="10">
        <v>35.7</v>
      </c>
      <c r="CN25" s="11">
        <v>20971</v>
      </c>
      <c r="CO25" s="23">
        <f t="shared" si="119"/>
        <v>-13.421828908554573</v>
      </c>
      <c r="CP25" s="23">
        <f t="shared" si="119"/>
        <v>1.4204545454545467</v>
      </c>
      <c r="CQ25" s="23">
        <f t="shared" si="119"/>
        <v>-1.613886934083979</v>
      </c>
      <c r="CR25" s="8"/>
      <c r="CS25" s="20">
        <v>652</v>
      </c>
      <c r="CT25" s="10">
        <v>37.9</v>
      </c>
      <c r="CU25" s="11">
        <v>16808</v>
      </c>
      <c r="CV25" s="23">
        <f t="shared" si="120"/>
        <v>11.073253833049407</v>
      </c>
      <c r="CW25" s="23">
        <f t="shared" si="120"/>
        <v>6.16246498599439</v>
      </c>
      <c r="CX25" s="23">
        <f t="shared" si="120"/>
        <v>-19.85122311763864</v>
      </c>
      <c r="CY25" s="8"/>
      <c r="CZ25" s="20">
        <v>656</v>
      </c>
      <c r="DA25" s="10">
        <v>37.6</v>
      </c>
      <c r="DB25" s="11">
        <v>24668</v>
      </c>
      <c r="DC25" s="23">
        <f t="shared" si="121"/>
        <v>0.6134969325153321</v>
      </c>
      <c r="DD25" s="23">
        <f t="shared" si="121"/>
        <v>-0.7915567282321803</v>
      </c>
      <c r="DE25" s="23">
        <f t="shared" si="121"/>
        <v>46.763445978105665</v>
      </c>
      <c r="DF25" s="8"/>
      <c r="DG25" s="20">
        <v>530</v>
      </c>
      <c r="DH25" s="10">
        <v>37.5</v>
      </c>
      <c r="DI25" s="11">
        <v>19854</v>
      </c>
      <c r="DJ25" s="23">
        <f t="shared" si="122"/>
        <v>-19.207317073170728</v>
      </c>
      <c r="DK25" s="23">
        <f t="shared" si="122"/>
        <v>-0.26595744680851396</v>
      </c>
      <c r="DL25" s="23">
        <f t="shared" si="122"/>
        <v>-19.515161342630122</v>
      </c>
      <c r="DM25" s="8"/>
      <c r="DN25" s="20">
        <v>650</v>
      </c>
      <c r="DO25" s="10">
        <v>35.6</v>
      </c>
      <c r="DP25" s="11">
        <v>21960</v>
      </c>
      <c r="DQ25" s="23">
        <f t="shared" si="123"/>
        <v>22.64150943396227</v>
      </c>
      <c r="DR25" s="23">
        <f t="shared" si="123"/>
        <v>-5.066666666666663</v>
      </c>
      <c r="DS25" s="23">
        <f t="shared" si="123"/>
        <v>10.607434270172263</v>
      </c>
      <c r="DT25" s="8"/>
      <c r="DU25" s="20">
        <v>800</v>
      </c>
      <c r="DV25" s="10">
        <v>29.6</v>
      </c>
      <c r="DW25" s="11">
        <v>23700</v>
      </c>
      <c r="DX25" s="23">
        <f t="shared" si="124"/>
        <v>23.07692307692308</v>
      </c>
      <c r="DY25" s="23">
        <f t="shared" si="124"/>
        <v>-16.85393258426967</v>
      </c>
      <c r="DZ25" s="23">
        <f t="shared" si="124"/>
        <v>7.923497267759558</v>
      </c>
      <c r="EA25" s="8"/>
      <c r="EB25" s="20">
        <v>910</v>
      </c>
      <c r="EC25" s="10">
        <v>34.9</v>
      </c>
      <c r="ED25" s="11">
        <v>31790</v>
      </c>
      <c r="EE25" s="23">
        <f t="shared" si="125"/>
        <v>13.75</v>
      </c>
      <c r="EF25" s="23">
        <f t="shared" si="125"/>
        <v>17.905405405405403</v>
      </c>
      <c r="EG25" s="23">
        <f t="shared" si="125"/>
        <v>34.135021097046405</v>
      </c>
      <c r="EH25" s="8"/>
      <c r="EI25" s="20">
        <v>870</v>
      </c>
      <c r="EJ25" s="10">
        <v>31.7</v>
      </c>
      <c r="EK25" s="11">
        <v>27550</v>
      </c>
      <c r="EL25" s="23">
        <f t="shared" si="126"/>
        <v>-4.395604395604394</v>
      </c>
      <c r="EM25" s="23">
        <f t="shared" si="126"/>
        <v>-9.16905444126074</v>
      </c>
      <c r="EN25" s="23">
        <f t="shared" si="126"/>
        <v>-13.337527524378729</v>
      </c>
      <c r="EO25" s="8"/>
      <c r="EP25" s="20">
        <v>1500</v>
      </c>
      <c r="EQ25" s="10">
        <v>34.5</v>
      </c>
      <c r="ER25" s="11">
        <v>51800</v>
      </c>
      <c r="ES25" s="23">
        <f t="shared" si="87"/>
        <v>72.41379310344828</v>
      </c>
      <c r="ET25" s="23">
        <f t="shared" si="87"/>
        <v>8.83280757097792</v>
      </c>
      <c r="EU25" s="23">
        <f t="shared" si="87"/>
        <v>88.02177858439202</v>
      </c>
      <c r="EV25" s="8"/>
      <c r="EW25" s="20">
        <v>1078</v>
      </c>
      <c r="EX25" s="10">
        <f>EY25/EW25</f>
        <v>33.501855287569576</v>
      </c>
      <c r="EY25" s="11">
        <v>36115</v>
      </c>
      <c r="EZ25" s="11">
        <v>36115</v>
      </c>
      <c r="FA25" s="23">
        <f t="shared" si="127"/>
        <v>-28.13333333333334</v>
      </c>
      <c r="FB25" s="23">
        <f t="shared" si="127"/>
        <v>-2.893173079508486</v>
      </c>
      <c r="FC25" s="23">
        <f>EZ25*100/ER25-100</f>
        <v>-30.279922779922785</v>
      </c>
      <c r="FD25" s="8"/>
      <c r="FE25" s="20">
        <v>720</v>
      </c>
      <c r="FF25" s="10">
        <f t="shared" si="50"/>
        <v>32.87222222222222</v>
      </c>
      <c r="FG25" s="11">
        <v>23668</v>
      </c>
      <c r="FH25" s="11">
        <v>23668</v>
      </c>
      <c r="FI25" s="23">
        <f t="shared" si="128"/>
        <v>-33.20964749536178</v>
      </c>
      <c r="FJ25" s="23">
        <f t="shared" si="128"/>
        <v>-1.8793976033350361</v>
      </c>
      <c r="FK25" s="23">
        <f t="shared" si="128"/>
        <v>-34.46490377959297</v>
      </c>
      <c r="FL25" s="23">
        <f>FH25*100/EZ25-100</f>
        <v>-34.46490377959297</v>
      </c>
      <c r="FM25" s="23"/>
      <c r="FN25" s="20">
        <v>710</v>
      </c>
      <c r="FO25" s="10">
        <f t="shared" si="51"/>
        <v>30.295774647887324</v>
      </c>
      <c r="FP25" s="11">
        <v>21510</v>
      </c>
      <c r="FQ25" s="11">
        <v>21510</v>
      </c>
      <c r="FR25" s="23">
        <f t="shared" si="52"/>
        <v>-1.3888888888888857</v>
      </c>
      <c r="FS25" s="23">
        <f t="shared" si="52"/>
        <v>-7.8377651407855495</v>
      </c>
      <c r="FT25" s="23">
        <f t="shared" si="53"/>
        <v>-9.117796180496867</v>
      </c>
      <c r="FU25" s="23">
        <f t="shared" si="53"/>
        <v>-9.117796180496867</v>
      </c>
      <c r="FV25" s="23"/>
      <c r="FW25" s="20">
        <v>1193</v>
      </c>
      <c r="FX25" s="10">
        <f t="shared" si="104"/>
        <v>25.1173512154233</v>
      </c>
      <c r="FY25" s="20">
        <v>29965</v>
      </c>
      <c r="FZ25" s="20">
        <v>29965</v>
      </c>
      <c r="GA25" s="23">
        <f t="shared" si="129"/>
        <v>68.02816901408451</v>
      </c>
      <c r="GB25" s="23">
        <f t="shared" si="129"/>
        <v>-17.092889990931923</v>
      </c>
      <c r="GC25" s="23">
        <f t="shared" si="129"/>
        <v>39.3072989307299</v>
      </c>
      <c r="GD25" s="23">
        <f t="shared" si="129"/>
        <v>39.3072989307299</v>
      </c>
      <c r="GE25" s="23"/>
      <c r="GF25" s="20">
        <v>1078</v>
      </c>
      <c r="GG25" s="10">
        <f t="shared" si="90"/>
        <v>23.189239332096474</v>
      </c>
      <c r="GH25" s="20">
        <v>24998</v>
      </c>
      <c r="GI25" s="20">
        <v>24998</v>
      </c>
      <c r="GJ25" s="23">
        <f t="shared" si="55"/>
        <v>-9.639564124057003</v>
      </c>
      <c r="GK25" s="23">
        <f t="shared" si="56"/>
        <v>-7.6764140724475425</v>
      </c>
      <c r="GL25" s="23">
        <f t="shared" si="57"/>
        <v>-16.576005339562826</v>
      </c>
      <c r="GM25" s="23">
        <f t="shared" si="57"/>
        <v>-16.576005339562826</v>
      </c>
      <c r="GN25" s="23"/>
      <c r="GO25" s="20">
        <v>585</v>
      </c>
      <c r="GP25" s="10">
        <f t="shared" si="91"/>
        <v>33.04102564102564</v>
      </c>
      <c r="GQ25" s="20">
        <v>19329</v>
      </c>
      <c r="GR25" s="20">
        <v>19329</v>
      </c>
      <c r="GS25" s="23">
        <f t="shared" si="92"/>
        <v>-45.73283858998145</v>
      </c>
      <c r="GT25" s="23">
        <f t="shared" si="58"/>
        <v>42.48430130820722</v>
      </c>
      <c r="GU25" s="23">
        <f t="shared" si="59"/>
        <v>-22.677814225138007</v>
      </c>
      <c r="GV25" s="23">
        <f t="shared" si="60"/>
        <v>-22.677814225138007</v>
      </c>
      <c r="GW25" s="23"/>
      <c r="GX25" s="20">
        <v>560</v>
      </c>
      <c r="GY25" s="10">
        <f t="shared" si="93"/>
        <v>20.225</v>
      </c>
      <c r="GZ25" s="20">
        <v>11326</v>
      </c>
      <c r="HA25" s="20">
        <v>11326</v>
      </c>
      <c r="HB25" s="23">
        <f t="shared" si="94"/>
        <v>-4.2735042735042725</v>
      </c>
      <c r="HC25" s="23">
        <f t="shared" si="94"/>
        <v>-38.78821977339748</v>
      </c>
      <c r="HD25" s="23">
        <f t="shared" si="62"/>
        <v>-41.40410781726939</v>
      </c>
      <c r="HE25" s="23">
        <f t="shared" si="63"/>
        <v>-41.40410781726939</v>
      </c>
      <c r="HF25" s="23"/>
      <c r="HG25" s="20">
        <v>813</v>
      </c>
      <c r="HH25" s="10">
        <f t="shared" si="95"/>
        <v>26.900369003690038</v>
      </c>
      <c r="HI25" s="20">
        <v>21870</v>
      </c>
      <c r="HJ25" s="20">
        <v>21870</v>
      </c>
      <c r="HK25" s="23">
        <f t="shared" si="96"/>
        <v>45.178571428571416</v>
      </c>
      <c r="HL25" s="23">
        <f t="shared" si="97"/>
        <v>33.005532774734434</v>
      </c>
      <c r="HM25" s="23">
        <f t="shared" si="105"/>
        <v>93.0955324033198</v>
      </c>
      <c r="HN25" s="23">
        <f t="shared" si="106"/>
        <v>93.0955324033198</v>
      </c>
      <c r="HO25" s="23"/>
      <c r="HP25" s="20">
        <v>1084</v>
      </c>
      <c r="HQ25" s="10">
        <f t="shared" si="98"/>
        <v>18.95387453874539</v>
      </c>
      <c r="HR25" s="20">
        <v>20546</v>
      </c>
      <c r="HS25" s="20">
        <v>20546</v>
      </c>
      <c r="HT25" s="23">
        <f t="shared" si="99"/>
        <v>33.33333333333334</v>
      </c>
      <c r="HU25" s="23">
        <f t="shared" si="100"/>
        <v>-29.54046639231825</v>
      </c>
      <c r="HV25" s="23">
        <f t="shared" si="64"/>
        <v>-6.053955189757659</v>
      </c>
      <c r="HW25" s="23">
        <f t="shared" si="65"/>
        <v>-6.053955189757659</v>
      </c>
      <c r="HX25" s="23"/>
      <c r="HY25" s="20">
        <v>2378</v>
      </c>
      <c r="HZ25" s="10">
        <f t="shared" si="101"/>
        <v>36.27628259041211</v>
      </c>
      <c r="IA25" s="20">
        <v>86265</v>
      </c>
      <c r="IB25" s="20">
        <v>86265</v>
      </c>
      <c r="IC25" s="23">
        <f t="shared" si="102"/>
        <v>119.37269372693726</v>
      </c>
      <c r="ID25" s="23">
        <f t="shared" si="103"/>
        <v>91.39243808043767</v>
      </c>
      <c r="IE25" s="23">
        <f t="shared" si="42"/>
        <v>319.86274700671663</v>
      </c>
      <c r="IF25" s="23">
        <f t="shared" si="43"/>
        <v>319.86274700671663</v>
      </c>
      <c r="IG25" s="23"/>
      <c r="IH25" s="1" t="s">
        <v>23</v>
      </c>
      <c r="II25" s="29">
        <f t="shared" si="44"/>
        <v>910.7</v>
      </c>
      <c r="IJ25" s="30">
        <f t="shared" si="45"/>
        <v>29.13428373499146</v>
      </c>
      <c r="IK25" s="29">
        <f t="shared" si="46"/>
        <v>26813.1</v>
      </c>
      <c r="IL25" s="25">
        <f t="shared" si="47"/>
        <v>19.029318106950697</v>
      </c>
      <c r="IM25" s="25">
        <f t="shared" si="48"/>
        <v>-34.943056396540086</v>
      </c>
      <c r="IN25" s="25">
        <f t="shared" si="49"/>
        <v>-23.373276495444387</v>
      </c>
      <c r="IP25" s="30">
        <f>HP25*100/Italia!BR25</f>
        <v>22.797055730809674</v>
      </c>
      <c r="IQ25" s="30">
        <f>HR25*100/Italia!BT25</f>
        <v>19.586272640610105</v>
      </c>
      <c r="IR25" s="30">
        <f>HS25*100/Italia!BU25</f>
        <v>19.723718188712574</v>
      </c>
    </row>
    <row r="26" spans="1:252" ht="12">
      <c r="A26" s="1" t="s">
        <v>24</v>
      </c>
      <c r="B26" s="20" t="s">
        <v>1</v>
      </c>
      <c r="C26" s="10" t="s">
        <v>1</v>
      </c>
      <c r="D26" s="11" t="s">
        <v>1</v>
      </c>
      <c r="E26" s="6"/>
      <c r="F26" s="20" t="s">
        <v>1</v>
      </c>
      <c r="G26" s="10" t="s">
        <v>1</v>
      </c>
      <c r="H26" s="11" t="s">
        <v>1</v>
      </c>
      <c r="I26" s="24" t="s">
        <v>1</v>
      </c>
      <c r="J26" s="24" t="s">
        <v>1</v>
      </c>
      <c r="K26" s="24" t="s">
        <v>1</v>
      </c>
      <c r="L26" s="6"/>
      <c r="M26" s="20" t="s">
        <v>1</v>
      </c>
      <c r="N26" s="10" t="s">
        <v>1</v>
      </c>
      <c r="O26" s="11" t="s">
        <v>1</v>
      </c>
      <c r="P26" s="24" t="s">
        <v>1</v>
      </c>
      <c r="Q26" s="24" t="s">
        <v>1</v>
      </c>
      <c r="R26" s="24" t="s">
        <v>1</v>
      </c>
      <c r="S26" s="6"/>
      <c r="T26" s="20" t="s">
        <v>1</v>
      </c>
      <c r="U26" s="10" t="s">
        <v>1</v>
      </c>
      <c r="V26" s="11" t="s">
        <v>1</v>
      </c>
      <c r="W26" s="24" t="s">
        <v>1</v>
      </c>
      <c r="X26" s="24" t="s">
        <v>1</v>
      </c>
      <c r="Y26" s="24" t="s">
        <v>1</v>
      </c>
      <c r="Z26" s="6"/>
      <c r="AA26" s="20" t="s">
        <v>1</v>
      </c>
      <c r="AB26" s="10" t="s">
        <v>1</v>
      </c>
      <c r="AC26" s="11" t="s">
        <v>1</v>
      </c>
      <c r="AD26" s="24" t="s">
        <v>1</v>
      </c>
      <c r="AE26" s="24" t="s">
        <v>1</v>
      </c>
      <c r="AF26" s="24" t="s">
        <v>1</v>
      </c>
      <c r="AG26" s="6"/>
      <c r="AH26" s="20" t="s">
        <v>1</v>
      </c>
      <c r="AI26" s="10" t="s">
        <v>1</v>
      </c>
      <c r="AJ26" s="11" t="s">
        <v>1</v>
      </c>
      <c r="AK26" s="24" t="s">
        <v>1</v>
      </c>
      <c r="AL26" s="24" t="s">
        <v>1</v>
      </c>
      <c r="AM26" s="24" t="s">
        <v>1</v>
      </c>
      <c r="AN26" s="6"/>
      <c r="AO26" s="20">
        <v>2602</v>
      </c>
      <c r="AP26" s="10">
        <v>40.5</v>
      </c>
      <c r="AQ26" s="11">
        <v>105496</v>
      </c>
      <c r="AR26" s="24" t="s">
        <v>1</v>
      </c>
      <c r="AS26" s="24" t="s">
        <v>1</v>
      </c>
      <c r="AT26" s="24" t="s">
        <v>1</v>
      </c>
      <c r="AU26" s="6"/>
      <c r="AV26" s="20">
        <v>2265</v>
      </c>
      <c r="AW26" s="10">
        <v>42.1</v>
      </c>
      <c r="AX26" s="11">
        <v>95306</v>
      </c>
      <c r="AY26" s="24">
        <f t="shared" si="113"/>
        <v>-12.951575710991548</v>
      </c>
      <c r="AZ26" s="24">
        <f t="shared" si="113"/>
        <v>3.9506172839506206</v>
      </c>
      <c r="BA26" s="24">
        <f t="shared" si="113"/>
        <v>-9.659133995601735</v>
      </c>
      <c r="BB26" s="8"/>
      <c r="BC26" s="20">
        <v>1915</v>
      </c>
      <c r="BD26" s="10">
        <v>33.6</v>
      </c>
      <c r="BE26" s="11">
        <v>64385</v>
      </c>
      <c r="BF26" s="24">
        <f t="shared" si="114"/>
        <v>-15.452538631346584</v>
      </c>
      <c r="BG26" s="24">
        <f t="shared" si="114"/>
        <v>-20.190023752969125</v>
      </c>
      <c r="BH26" s="24">
        <f t="shared" si="114"/>
        <v>-32.44391748683189</v>
      </c>
      <c r="BI26" s="8"/>
      <c r="BJ26" s="20">
        <v>534</v>
      </c>
      <c r="BK26" s="10">
        <v>35</v>
      </c>
      <c r="BL26" s="11">
        <v>17000</v>
      </c>
      <c r="BM26" s="24">
        <f t="shared" si="115"/>
        <v>-72.11488250652741</v>
      </c>
      <c r="BN26" s="24">
        <f t="shared" si="115"/>
        <v>4.166666666666657</v>
      </c>
      <c r="BO26" s="24">
        <f t="shared" si="115"/>
        <v>-73.59633454997282</v>
      </c>
      <c r="BP26" s="8"/>
      <c r="BQ26" s="20">
        <v>364</v>
      </c>
      <c r="BR26" s="10">
        <v>31.39</v>
      </c>
      <c r="BS26" s="11">
        <v>11355</v>
      </c>
      <c r="BT26" s="24">
        <f t="shared" si="116"/>
        <v>-31.83520599250936</v>
      </c>
      <c r="BU26" s="24">
        <f t="shared" si="116"/>
        <v>-10.314285714285717</v>
      </c>
      <c r="BV26" s="24">
        <f t="shared" si="116"/>
        <v>-33.205882352941174</v>
      </c>
      <c r="BW26" s="8"/>
      <c r="BX26" s="20">
        <v>91</v>
      </c>
      <c r="BY26" s="10">
        <v>28.2</v>
      </c>
      <c r="BZ26" s="11">
        <v>2540</v>
      </c>
      <c r="CA26" s="24">
        <f t="shared" si="117"/>
        <v>-75</v>
      </c>
      <c r="CB26" s="24">
        <f t="shared" si="117"/>
        <v>-10.162472124880537</v>
      </c>
      <c r="CC26" s="24">
        <f t="shared" si="117"/>
        <v>-77.63099955966534</v>
      </c>
      <c r="CD26" s="8"/>
      <c r="CE26" s="20">
        <v>120</v>
      </c>
      <c r="CF26" s="10">
        <v>18.2</v>
      </c>
      <c r="CG26" s="11">
        <v>1744</v>
      </c>
      <c r="CH26" s="24">
        <f t="shared" si="118"/>
        <v>31.868131868131854</v>
      </c>
      <c r="CI26" s="24">
        <f t="shared" si="118"/>
        <v>-35.46099290780141</v>
      </c>
      <c r="CJ26" s="24">
        <f>CG26*100/BZ26-100</f>
        <v>-31.33858267716535</v>
      </c>
      <c r="CK26" s="8"/>
      <c r="CL26" s="20">
        <v>89</v>
      </c>
      <c r="CM26" s="10">
        <v>34.4</v>
      </c>
      <c r="CN26" s="11">
        <v>3060</v>
      </c>
      <c r="CO26" s="24">
        <f t="shared" si="119"/>
        <v>-25.83333333333333</v>
      </c>
      <c r="CP26" s="24">
        <f t="shared" si="119"/>
        <v>89.01098901098902</v>
      </c>
      <c r="CQ26" s="24">
        <f t="shared" si="119"/>
        <v>75.45871559633028</v>
      </c>
      <c r="CR26" s="8"/>
      <c r="CS26" s="20">
        <v>420</v>
      </c>
      <c r="CT26" s="10">
        <v>33</v>
      </c>
      <c r="CU26" s="11">
        <v>13860</v>
      </c>
      <c r="CV26" s="24">
        <f t="shared" si="120"/>
        <v>371.91011235955057</v>
      </c>
      <c r="CW26" s="24">
        <f t="shared" si="120"/>
        <v>-4.0697674418604635</v>
      </c>
      <c r="CX26" s="24">
        <f t="shared" si="120"/>
        <v>352.94117647058823</v>
      </c>
      <c r="CY26" s="8"/>
      <c r="CZ26" s="20">
        <v>30</v>
      </c>
      <c r="DA26" s="10">
        <v>28</v>
      </c>
      <c r="DB26" s="11">
        <v>840</v>
      </c>
      <c r="DC26" s="24">
        <f t="shared" si="121"/>
        <v>-92.85714285714286</v>
      </c>
      <c r="DD26" s="24">
        <f t="shared" si="121"/>
        <v>-15.151515151515156</v>
      </c>
      <c r="DE26" s="24">
        <f t="shared" si="121"/>
        <v>-93.93939393939394</v>
      </c>
      <c r="DF26" s="8"/>
      <c r="DG26" s="20">
        <v>155</v>
      </c>
      <c r="DH26" s="10">
        <v>32.3</v>
      </c>
      <c r="DI26" s="11">
        <v>4880</v>
      </c>
      <c r="DJ26" s="24">
        <f t="shared" si="122"/>
        <v>416.66666666666663</v>
      </c>
      <c r="DK26" s="24">
        <f t="shared" si="122"/>
        <v>15.357142857142847</v>
      </c>
      <c r="DL26" s="24">
        <f t="shared" si="122"/>
        <v>480.95238095238096</v>
      </c>
      <c r="DM26" s="8"/>
      <c r="DN26" s="20">
        <v>270</v>
      </c>
      <c r="DO26" s="10">
        <v>39.1</v>
      </c>
      <c r="DP26" s="11">
        <v>10545</v>
      </c>
      <c r="DQ26" s="24">
        <f t="shared" si="123"/>
        <v>74.19354838709677</v>
      </c>
      <c r="DR26" s="24">
        <f t="shared" si="123"/>
        <v>21.052631578947384</v>
      </c>
      <c r="DS26" s="24">
        <f t="shared" si="123"/>
        <v>116.0860655737705</v>
      </c>
      <c r="DT26" s="8"/>
      <c r="DU26" s="20">
        <v>1553</v>
      </c>
      <c r="DV26" s="10">
        <v>28.3</v>
      </c>
      <c r="DW26" s="11">
        <v>43977</v>
      </c>
      <c r="DX26" s="24">
        <f t="shared" si="124"/>
        <v>475.1851851851852</v>
      </c>
      <c r="DY26" s="24">
        <f t="shared" si="124"/>
        <v>-27.621483375959087</v>
      </c>
      <c r="DZ26" s="24">
        <f t="shared" si="124"/>
        <v>317.0412517780939</v>
      </c>
      <c r="EA26" s="8"/>
      <c r="EB26" s="20">
        <v>1415</v>
      </c>
      <c r="EC26" s="10">
        <v>33</v>
      </c>
      <c r="ED26" s="11">
        <v>46660</v>
      </c>
      <c r="EE26" s="24">
        <f t="shared" si="125"/>
        <v>-8.886027044430136</v>
      </c>
      <c r="EF26" s="24">
        <f t="shared" si="125"/>
        <v>16.607773851590096</v>
      </c>
      <c r="EG26" s="24">
        <f t="shared" si="125"/>
        <v>6.100916388111969</v>
      </c>
      <c r="EH26" s="8"/>
      <c r="EI26" s="20">
        <v>1170</v>
      </c>
      <c r="EJ26" s="10">
        <v>32.1</v>
      </c>
      <c r="EK26" s="11">
        <v>37505</v>
      </c>
      <c r="EL26" s="24">
        <f t="shared" si="126"/>
        <v>-17.31448763250883</v>
      </c>
      <c r="EM26" s="24">
        <f t="shared" si="126"/>
        <v>-2.7272727272727337</v>
      </c>
      <c r="EN26" s="24">
        <f t="shared" si="126"/>
        <v>-19.620660094299183</v>
      </c>
      <c r="EO26" s="8"/>
      <c r="EP26" s="20">
        <v>1734</v>
      </c>
      <c r="EQ26" s="10">
        <v>33.8</v>
      </c>
      <c r="ER26" s="11">
        <v>58685</v>
      </c>
      <c r="ES26" s="24">
        <f t="shared" si="87"/>
        <v>48.205128205128204</v>
      </c>
      <c r="ET26" s="24">
        <f t="shared" si="87"/>
        <v>5.295950155763222</v>
      </c>
      <c r="EU26" s="24">
        <f t="shared" si="87"/>
        <v>56.47247033728837</v>
      </c>
      <c r="EV26" s="8"/>
      <c r="EW26" s="20">
        <v>2105</v>
      </c>
      <c r="EX26" s="10">
        <f>EY26/EW26</f>
        <v>39.66745843230404</v>
      </c>
      <c r="EY26" s="11">
        <v>83500</v>
      </c>
      <c r="EZ26" s="11">
        <v>83500</v>
      </c>
      <c r="FA26" s="24">
        <f t="shared" si="127"/>
        <v>21.39561707035756</v>
      </c>
      <c r="FB26" s="24">
        <f t="shared" si="127"/>
        <v>17.359344474272305</v>
      </c>
      <c r="FC26" s="24">
        <f>EZ26*100/ER26-100</f>
        <v>42.285081366618385</v>
      </c>
      <c r="FD26" s="8"/>
      <c r="FE26" s="20">
        <v>1380</v>
      </c>
      <c r="FF26" s="10">
        <f t="shared" si="50"/>
        <v>29.5</v>
      </c>
      <c r="FG26" s="11">
        <v>40710</v>
      </c>
      <c r="FH26" s="11">
        <v>40710</v>
      </c>
      <c r="FI26" s="23">
        <f t="shared" si="128"/>
        <v>-34.44180522565321</v>
      </c>
      <c r="FJ26" s="23">
        <f t="shared" si="128"/>
        <v>-25.631736526946113</v>
      </c>
      <c r="FK26" s="23">
        <f t="shared" si="128"/>
        <v>-51.24550898203593</v>
      </c>
      <c r="FL26" s="23">
        <f>FH26*100/EZ26-100</f>
        <v>-51.24550898203593</v>
      </c>
      <c r="FM26" s="23"/>
      <c r="FN26" s="20">
        <v>1366</v>
      </c>
      <c r="FO26" s="10">
        <f t="shared" si="51"/>
        <v>31.907759882869694</v>
      </c>
      <c r="FP26" s="11">
        <v>43586</v>
      </c>
      <c r="FQ26" s="11">
        <v>43586</v>
      </c>
      <c r="FR26" s="23">
        <f t="shared" si="52"/>
        <v>-1.0144927536231876</v>
      </c>
      <c r="FS26" s="23">
        <f t="shared" si="52"/>
        <v>8.16189790803287</v>
      </c>
      <c r="FT26" s="23">
        <f t="shared" si="53"/>
        <v>7.0646032915745565</v>
      </c>
      <c r="FU26" s="23">
        <f t="shared" si="53"/>
        <v>7.0646032915745565</v>
      </c>
      <c r="FV26" s="23"/>
      <c r="FW26" s="20">
        <v>1533</v>
      </c>
      <c r="FX26" s="10">
        <f t="shared" si="104"/>
        <v>33.20026092628832</v>
      </c>
      <c r="FY26" s="20">
        <v>50896</v>
      </c>
      <c r="FZ26" s="20">
        <v>50896</v>
      </c>
      <c r="GA26" s="23">
        <f t="shared" si="129"/>
        <v>12.225475841874086</v>
      </c>
      <c r="GB26" s="23">
        <f t="shared" si="129"/>
        <v>4.050742039438916</v>
      </c>
      <c r="GC26" s="23">
        <f t="shared" si="129"/>
        <v>16.771440370761255</v>
      </c>
      <c r="GD26" s="23">
        <f t="shared" si="129"/>
        <v>16.771440370761255</v>
      </c>
      <c r="GE26" s="23"/>
      <c r="GF26" s="20">
        <v>976</v>
      </c>
      <c r="GG26" s="10">
        <f t="shared" si="90"/>
        <v>34.83094262295082</v>
      </c>
      <c r="GH26" s="20">
        <v>33995</v>
      </c>
      <c r="GI26" s="20">
        <v>33995</v>
      </c>
      <c r="GJ26" s="23">
        <f t="shared" si="55"/>
        <v>-36.33398564905414</v>
      </c>
      <c r="GK26" s="23">
        <f t="shared" si="56"/>
        <v>4.9116532556263905</v>
      </c>
      <c r="GL26" s="23">
        <f t="shared" si="57"/>
        <v>-33.20693178245834</v>
      </c>
      <c r="GM26" s="23">
        <f t="shared" si="57"/>
        <v>-33.20693178245834</v>
      </c>
      <c r="GN26" s="23"/>
      <c r="GO26" s="20">
        <v>708</v>
      </c>
      <c r="GP26" s="10">
        <f t="shared" si="91"/>
        <v>29.28954802259887</v>
      </c>
      <c r="GQ26" s="20">
        <v>20737</v>
      </c>
      <c r="GR26" s="20">
        <v>20737</v>
      </c>
      <c r="GS26" s="23">
        <f t="shared" si="92"/>
        <v>-27.459016393442624</v>
      </c>
      <c r="GT26" s="23">
        <f t="shared" si="58"/>
        <v>-15.909401764799256</v>
      </c>
      <c r="GU26" s="23">
        <f t="shared" si="59"/>
        <v>-38.999852919546996</v>
      </c>
      <c r="GV26" s="23">
        <f t="shared" si="60"/>
        <v>-38.999852919546996</v>
      </c>
      <c r="GW26" s="23"/>
      <c r="GX26" s="20">
        <v>587</v>
      </c>
      <c r="GY26" s="10">
        <f t="shared" si="93"/>
        <v>30.689948892674618</v>
      </c>
      <c r="GZ26" s="20">
        <v>18015</v>
      </c>
      <c r="HA26" s="20">
        <v>18015</v>
      </c>
      <c r="HB26" s="23">
        <f t="shared" si="94"/>
        <v>-17.090395480225993</v>
      </c>
      <c r="HC26" s="23">
        <f t="shared" si="94"/>
        <v>4.781230727750554</v>
      </c>
      <c r="HD26" s="23">
        <f t="shared" si="62"/>
        <v>-13.126295992670109</v>
      </c>
      <c r="HE26" s="23">
        <f t="shared" si="63"/>
        <v>-13.126295992670109</v>
      </c>
      <c r="HF26" s="23"/>
      <c r="HG26" s="20">
        <v>615</v>
      </c>
      <c r="HH26" s="10">
        <f t="shared" si="95"/>
        <v>28.878048780487806</v>
      </c>
      <c r="HI26" s="20">
        <v>17760</v>
      </c>
      <c r="HJ26" s="20">
        <v>17490</v>
      </c>
      <c r="HK26" s="23">
        <f t="shared" si="96"/>
        <v>4.770017035775126</v>
      </c>
      <c r="HL26" s="23">
        <f t="shared" si="97"/>
        <v>-5.90388768167449</v>
      </c>
      <c r="HM26" s="23">
        <f t="shared" si="105"/>
        <v>-1.4154870940882631</v>
      </c>
      <c r="HN26" s="23">
        <f t="shared" si="106"/>
        <v>-2.914238134887597</v>
      </c>
      <c r="HO26" s="23"/>
      <c r="HP26" s="20">
        <v>748</v>
      </c>
      <c r="HQ26" s="10">
        <f t="shared" si="98"/>
        <v>31.53609625668449</v>
      </c>
      <c r="HR26" s="20">
        <v>23589</v>
      </c>
      <c r="HS26" s="20">
        <v>23589</v>
      </c>
      <c r="HT26" s="23">
        <f t="shared" si="99"/>
        <v>21.6260162601626</v>
      </c>
      <c r="HU26" s="23">
        <f t="shared" si="100"/>
        <v>9.204387375343245</v>
      </c>
      <c r="HV26" s="23">
        <f t="shared" si="64"/>
        <v>32.82094594594594</v>
      </c>
      <c r="HW26" s="23">
        <f t="shared" si="65"/>
        <v>34.87135506003432</v>
      </c>
      <c r="HX26" s="23"/>
      <c r="HY26" s="20">
        <v>1249</v>
      </c>
      <c r="HZ26" s="10">
        <f t="shared" si="101"/>
        <v>34.933546837469976</v>
      </c>
      <c r="IA26" s="20">
        <v>43632</v>
      </c>
      <c r="IB26" s="20">
        <v>43632</v>
      </c>
      <c r="IC26" s="23">
        <f t="shared" si="102"/>
        <v>66.97860962566844</v>
      </c>
      <c r="ID26" s="23">
        <f t="shared" si="103"/>
        <v>10.773212236328547</v>
      </c>
      <c r="IE26" s="23">
        <f t="shared" si="42"/>
        <v>84.96756962991225</v>
      </c>
      <c r="IF26" s="23">
        <f t="shared" si="43"/>
        <v>84.96756962991225</v>
      </c>
      <c r="IG26" s="23"/>
      <c r="IH26" s="1" t="s">
        <v>24</v>
      </c>
      <c r="II26" s="29">
        <f t="shared" si="44"/>
        <v>1217.4</v>
      </c>
      <c r="IJ26" s="30">
        <f t="shared" si="45"/>
        <v>32.38639675601742</v>
      </c>
      <c r="IK26" s="29">
        <f t="shared" si="46"/>
        <v>40511.9</v>
      </c>
      <c r="IL26" s="25">
        <f t="shared" si="47"/>
        <v>-38.55758173155907</v>
      </c>
      <c r="IM26" s="25">
        <f t="shared" si="48"/>
        <v>-2.6254865761654713</v>
      </c>
      <c r="IN26" s="25">
        <f t="shared" si="49"/>
        <v>-41.772664328259104</v>
      </c>
      <c r="IP26" s="30">
        <f>HP26*100/Italia!BR26</f>
        <v>11.640211640211641</v>
      </c>
      <c r="IQ26" s="30">
        <f>HR26*100/Italia!BT26</f>
        <v>14.73934804206422</v>
      </c>
      <c r="IR26" s="30">
        <f>HS26*100/Italia!BU26</f>
        <v>14.90757417764717</v>
      </c>
    </row>
    <row r="27" spans="1:252" ht="12">
      <c r="A27" s="1" t="s">
        <v>153</v>
      </c>
      <c r="B27" s="24" t="s">
        <v>1</v>
      </c>
      <c r="C27" s="24" t="s">
        <v>1</v>
      </c>
      <c r="D27" s="24" t="s">
        <v>1</v>
      </c>
      <c r="E27" s="24"/>
      <c r="F27" s="24" t="s">
        <v>1</v>
      </c>
      <c r="G27" s="24" t="s">
        <v>1</v>
      </c>
      <c r="H27" s="24" t="s">
        <v>1</v>
      </c>
      <c r="I27" s="24" t="s">
        <v>1</v>
      </c>
      <c r="J27" s="24" t="s">
        <v>1</v>
      </c>
      <c r="K27" s="24" t="s">
        <v>1</v>
      </c>
      <c r="L27" s="24"/>
      <c r="M27" s="24" t="s">
        <v>1</v>
      </c>
      <c r="N27" s="24" t="s">
        <v>1</v>
      </c>
      <c r="O27" s="24" t="s">
        <v>1</v>
      </c>
      <c r="P27" s="24" t="s">
        <v>1</v>
      </c>
      <c r="Q27" s="24" t="s">
        <v>1</v>
      </c>
      <c r="R27" s="24" t="s">
        <v>1</v>
      </c>
      <c r="S27" s="6"/>
      <c r="T27" s="20" t="s">
        <v>1</v>
      </c>
      <c r="U27" s="20" t="s">
        <v>1</v>
      </c>
      <c r="V27" s="20" t="s">
        <v>1</v>
      </c>
      <c r="W27" s="20" t="s">
        <v>1</v>
      </c>
      <c r="X27" s="20" t="s">
        <v>1</v>
      </c>
      <c r="Y27" s="20" t="s">
        <v>1</v>
      </c>
      <c r="Z27" s="6"/>
      <c r="AA27" s="20" t="s">
        <v>1</v>
      </c>
      <c r="AB27" s="20" t="s">
        <v>1</v>
      </c>
      <c r="AC27" s="20" t="s">
        <v>1</v>
      </c>
      <c r="AD27" s="20" t="s">
        <v>1</v>
      </c>
      <c r="AE27" s="20" t="s">
        <v>1</v>
      </c>
      <c r="AF27" s="20" t="s">
        <v>1</v>
      </c>
      <c r="AG27" s="6"/>
      <c r="AH27" s="20" t="s">
        <v>1</v>
      </c>
      <c r="AI27" s="20" t="s">
        <v>1</v>
      </c>
      <c r="AJ27" s="20" t="s">
        <v>1</v>
      </c>
      <c r="AK27" s="20" t="s">
        <v>1</v>
      </c>
      <c r="AL27" s="20" t="s">
        <v>1</v>
      </c>
      <c r="AM27" s="20" t="s">
        <v>1</v>
      </c>
      <c r="AN27" s="6"/>
      <c r="AO27" s="20" t="s">
        <v>1</v>
      </c>
      <c r="AP27" s="20" t="s">
        <v>1</v>
      </c>
      <c r="AQ27" s="20" t="s">
        <v>1</v>
      </c>
      <c r="AR27" s="20" t="s">
        <v>1</v>
      </c>
      <c r="AS27" s="20" t="s">
        <v>1</v>
      </c>
      <c r="AT27" s="20" t="s">
        <v>1</v>
      </c>
      <c r="AU27" s="6"/>
      <c r="AV27" s="20" t="s">
        <v>1</v>
      </c>
      <c r="AW27" s="20" t="s">
        <v>1</v>
      </c>
      <c r="AX27" s="20" t="s">
        <v>1</v>
      </c>
      <c r="AY27" s="20" t="s">
        <v>1</v>
      </c>
      <c r="AZ27" s="20" t="s">
        <v>1</v>
      </c>
      <c r="BA27" s="20" t="s">
        <v>1</v>
      </c>
      <c r="BB27" s="8"/>
      <c r="BC27" s="20" t="s">
        <v>1</v>
      </c>
      <c r="BD27" s="20" t="s">
        <v>1</v>
      </c>
      <c r="BE27" s="20" t="s">
        <v>1</v>
      </c>
      <c r="BF27" s="20" t="s">
        <v>1</v>
      </c>
      <c r="BG27" s="20" t="s">
        <v>1</v>
      </c>
      <c r="BH27" s="20" t="s">
        <v>1</v>
      </c>
      <c r="BI27" s="8"/>
      <c r="BJ27" s="20" t="s">
        <v>1</v>
      </c>
      <c r="BK27" s="20" t="s">
        <v>1</v>
      </c>
      <c r="BL27" s="20" t="s">
        <v>1</v>
      </c>
      <c r="BM27" s="20" t="s">
        <v>1</v>
      </c>
      <c r="BN27" s="20" t="s">
        <v>1</v>
      </c>
      <c r="BO27" s="20" t="s">
        <v>1</v>
      </c>
      <c r="BP27" s="8"/>
      <c r="BQ27" s="20" t="s">
        <v>1</v>
      </c>
      <c r="BR27" s="20" t="s">
        <v>1</v>
      </c>
      <c r="BS27" s="20" t="s">
        <v>1</v>
      </c>
      <c r="BT27" s="20" t="s">
        <v>1</v>
      </c>
      <c r="BU27" s="20" t="s">
        <v>1</v>
      </c>
      <c r="BV27" s="20" t="s">
        <v>1</v>
      </c>
      <c r="BW27" s="8"/>
      <c r="BX27" s="20" t="s">
        <v>1</v>
      </c>
      <c r="BY27" s="20" t="s">
        <v>1</v>
      </c>
      <c r="BZ27" s="20" t="s">
        <v>1</v>
      </c>
      <c r="CA27" s="20" t="s">
        <v>1</v>
      </c>
      <c r="CB27" s="20" t="s">
        <v>1</v>
      </c>
      <c r="CC27" s="20" t="s">
        <v>1</v>
      </c>
      <c r="CD27" s="8"/>
      <c r="CE27" s="20" t="s">
        <v>1</v>
      </c>
      <c r="CF27" s="20" t="s">
        <v>1</v>
      </c>
      <c r="CG27" s="20" t="s">
        <v>1</v>
      </c>
      <c r="CH27" s="20" t="s">
        <v>1</v>
      </c>
      <c r="CI27" s="20" t="s">
        <v>1</v>
      </c>
      <c r="CJ27" s="20" t="s">
        <v>1</v>
      </c>
      <c r="CK27" s="8"/>
      <c r="CL27" s="20" t="s">
        <v>1</v>
      </c>
      <c r="CM27" s="20" t="s">
        <v>1</v>
      </c>
      <c r="CN27" s="20" t="s">
        <v>1</v>
      </c>
      <c r="CO27" s="20" t="s">
        <v>1</v>
      </c>
      <c r="CP27" s="20" t="s">
        <v>1</v>
      </c>
      <c r="CQ27" s="20" t="s">
        <v>1</v>
      </c>
      <c r="CR27" s="8"/>
      <c r="CS27" s="20" t="s">
        <v>1</v>
      </c>
      <c r="CT27" s="20" t="s">
        <v>1</v>
      </c>
      <c r="CU27" s="20" t="s">
        <v>1</v>
      </c>
      <c r="CV27" s="20" t="s">
        <v>1</v>
      </c>
      <c r="CW27" s="20" t="s">
        <v>1</v>
      </c>
      <c r="CX27" s="20" t="s">
        <v>1</v>
      </c>
      <c r="CY27" s="8"/>
      <c r="CZ27" s="20" t="s">
        <v>1</v>
      </c>
      <c r="DA27" s="20" t="s">
        <v>1</v>
      </c>
      <c r="DB27" s="20" t="s">
        <v>1</v>
      </c>
      <c r="DC27" s="20" t="s">
        <v>1</v>
      </c>
      <c r="DD27" s="20" t="s">
        <v>1</v>
      </c>
      <c r="DE27" s="20" t="s">
        <v>1</v>
      </c>
      <c r="DF27" s="8"/>
      <c r="DG27" s="20" t="s">
        <v>1</v>
      </c>
      <c r="DH27" s="20" t="s">
        <v>1</v>
      </c>
      <c r="DI27" s="20" t="s">
        <v>1</v>
      </c>
      <c r="DJ27" s="20" t="s">
        <v>1</v>
      </c>
      <c r="DK27" s="20" t="s">
        <v>1</v>
      </c>
      <c r="DL27" s="20" t="s">
        <v>1</v>
      </c>
      <c r="DM27" s="8"/>
      <c r="DN27" s="20" t="s">
        <v>1</v>
      </c>
      <c r="DO27" s="20" t="s">
        <v>1</v>
      </c>
      <c r="DP27" s="20" t="s">
        <v>1</v>
      </c>
      <c r="DQ27" s="20" t="s">
        <v>1</v>
      </c>
      <c r="DR27" s="20" t="s">
        <v>1</v>
      </c>
      <c r="DS27" s="20" t="s">
        <v>1</v>
      </c>
      <c r="DT27" s="8"/>
      <c r="DU27" s="20" t="s">
        <v>1</v>
      </c>
      <c r="DV27" s="20" t="s">
        <v>1</v>
      </c>
      <c r="DW27" s="20" t="s">
        <v>1</v>
      </c>
      <c r="DX27" s="20" t="s">
        <v>1</v>
      </c>
      <c r="DY27" s="20" t="s">
        <v>1</v>
      </c>
      <c r="DZ27" s="20" t="s">
        <v>1</v>
      </c>
      <c r="EA27" s="8"/>
      <c r="EB27" s="20" t="s">
        <v>1</v>
      </c>
      <c r="EC27" s="20" t="s">
        <v>1</v>
      </c>
      <c r="ED27" s="20" t="s">
        <v>1</v>
      </c>
      <c r="EE27" s="20" t="s">
        <v>1</v>
      </c>
      <c r="EF27" s="20" t="s">
        <v>1</v>
      </c>
      <c r="EG27" s="20" t="s">
        <v>1</v>
      </c>
      <c r="EH27" s="8"/>
      <c r="EI27" s="20" t="s">
        <v>1</v>
      </c>
      <c r="EJ27" s="20" t="s">
        <v>1</v>
      </c>
      <c r="EK27" s="20" t="s">
        <v>1</v>
      </c>
      <c r="EL27" s="20" t="s">
        <v>1</v>
      </c>
      <c r="EM27" s="20" t="s">
        <v>1</v>
      </c>
      <c r="EN27" s="20" t="s">
        <v>1</v>
      </c>
      <c r="EO27" s="8"/>
      <c r="EP27" s="20" t="s">
        <v>1</v>
      </c>
      <c r="EQ27" s="20" t="s">
        <v>1</v>
      </c>
      <c r="ER27" s="20" t="s">
        <v>1</v>
      </c>
      <c r="ES27" s="20" t="s">
        <v>1</v>
      </c>
      <c r="ET27" s="20" t="s">
        <v>1</v>
      </c>
      <c r="EU27" s="20" t="s">
        <v>1</v>
      </c>
      <c r="EV27" s="8"/>
      <c r="EW27" s="20" t="s">
        <v>1</v>
      </c>
      <c r="EX27" s="20" t="s">
        <v>1</v>
      </c>
      <c r="EY27" s="20" t="s">
        <v>1</v>
      </c>
      <c r="EZ27" s="20" t="s">
        <v>1</v>
      </c>
      <c r="FA27" s="20" t="s">
        <v>1</v>
      </c>
      <c r="FB27" s="20" t="s">
        <v>1</v>
      </c>
      <c r="FC27" s="20" t="s">
        <v>1</v>
      </c>
      <c r="FD27" s="8"/>
      <c r="FE27" s="20" t="s">
        <v>1</v>
      </c>
      <c r="FF27" s="20" t="s">
        <v>1</v>
      </c>
      <c r="FG27" s="20" t="s">
        <v>1</v>
      </c>
      <c r="FH27" s="20" t="s">
        <v>1</v>
      </c>
      <c r="FI27" s="20" t="s">
        <v>1</v>
      </c>
      <c r="FJ27" s="20" t="s">
        <v>1</v>
      </c>
      <c r="FK27" s="20" t="s">
        <v>1</v>
      </c>
      <c r="FL27" s="20" t="s">
        <v>1</v>
      </c>
      <c r="FM27" s="23"/>
      <c r="FN27" s="20" t="s">
        <v>1</v>
      </c>
      <c r="FO27" s="20" t="s">
        <v>1</v>
      </c>
      <c r="FP27" s="20" t="s">
        <v>1</v>
      </c>
      <c r="FQ27" s="20" t="s">
        <v>1</v>
      </c>
      <c r="FR27" s="20" t="s">
        <v>1</v>
      </c>
      <c r="FS27" s="20" t="s">
        <v>1</v>
      </c>
      <c r="FT27" s="20" t="s">
        <v>1</v>
      </c>
      <c r="FU27" s="20" t="s">
        <v>1</v>
      </c>
      <c r="FV27" s="23"/>
      <c r="FW27" s="20" t="s">
        <v>1</v>
      </c>
      <c r="FX27" s="20" t="s">
        <v>1</v>
      </c>
      <c r="FY27" s="20" t="s">
        <v>1</v>
      </c>
      <c r="FZ27" s="20" t="s">
        <v>1</v>
      </c>
      <c r="GA27" s="20" t="s">
        <v>1</v>
      </c>
      <c r="GB27" s="20" t="s">
        <v>1</v>
      </c>
      <c r="GC27" s="20" t="s">
        <v>1</v>
      </c>
      <c r="GD27" s="20" t="s">
        <v>1</v>
      </c>
      <c r="GE27" s="23"/>
      <c r="GF27" s="20" t="s">
        <v>1</v>
      </c>
      <c r="GG27" s="20" t="s">
        <v>1</v>
      </c>
      <c r="GH27" s="20" t="s">
        <v>1</v>
      </c>
      <c r="GI27" s="20" t="s">
        <v>1</v>
      </c>
      <c r="GJ27" s="20" t="s">
        <v>1</v>
      </c>
      <c r="GK27" s="20" t="s">
        <v>1</v>
      </c>
      <c r="GL27" s="20" t="s">
        <v>1</v>
      </c>
      <c r="GM27" s="20" t="s">
        <v>1</v>
      </c>
      <c r="GN27" s="23"/>
      <c r="GO27" s="20" t="s">
        <v>1</v>
      </c>
      <c r="GP27" s="20" t="s">
        <v>1</v>
      </c>
      <c r="GQ27" s="20" t="s">
        <v>1</v>
      </c>
      <c r="GR27" s="20" t="s">
        <v>1</v>
      </c>
      <c r="GS27" s="20" t="s">
        <v>1</v>
      </c>
      <c r="GT27" s="20" t="s">
        <v>1</v>
      </c>
      <c r="GU27" s="20" t="s">
        <v>1</v>
      </c>
      <c r="GV27" s="20" t="s">
        <v>1</v>
      </c>
      <c r="GW27" s="23"/>
      <c r="GX27" s="20" t="s">
        <v>1</v>
      </c>
      <c r="GY27" s="20" t="s">
        <v>1</v>
      </c>
      <c r="GZ27" s="20" t="s">
        <v>1</v>
      </c>
      <c r="HA27" s="20" t="s">
        <v>1</v>
      </c>
      <c r="HB27" s="20" t="s">
        <v>1</v>
      </c>
      <c r="HC27" s="20" t="s">
        <v>1</v>
      </c>
      <c r="HD27" s="20" t="s">
        <v>1</v>
      </c>
      <c r="HE27" s="20" t="s">
        <v>1</v>
      </c>
      <c r="HF27" s="23"/>
      <c r="HG27" s="20" t="s">
        <v>1</v>
      </c>
      <c r="HH27" s="20" t="s">
        <v>1</v>
      </c>
      <c r="HI27" s="20" t="s">
        <v>1</v>
      </c>
      <c r="HJ27" s="20" t="s">
        <v>1</v>
      </c>
      <c r="HK27" s="20" t="s">
        <v>1</v>
      </c>
      <c r="HL27" s="20" t="s">
        <v>1</v>
      </c>
      <c r="HM27" s="20" t="s">
        <v>1</v>
      </c>
      <c r="HN27" s="20" t="s">
        <v>1</v>
      </c>
      <c r="HO27" s="23"/>
      <c r="HP27" s="20" t="s">
        <v>1</v>
      </c>
      <c r="HQ27" s="20" t="s">
        <v>1</v>
      </c>
      <c r="HR27" s="20" t="s">
        <v>1</v>
      </c>
      <c r="HS27" s="20" t="s">
        <v>1</v>
      </c>
      <c r="HT27" s="20" t="s">
        <v>1</v>
      </c>
      <c r="HU27" s="20" t="s">
        <v>1</v>
      </c>
      <c r="HV27" s="20" t="s">
        <v>1</v>
      </c>
      <c r="HW27" s="20" t="s">
        <v>1</v>
      </c>
      <c r="HX27" s="23"/>
      <c r="HY27" s="20">
        <v>4</v>
      </c>
      <c r="HZ27" s="10">
        <f t="shared" si="101"/>
        <v>6</v>
      </c>
      <c r="IA27" s="20">
        <v>24</v>
      </c>
      <c r="IB27" s="20">
        <v>24</v>
      </c>
      <c r="IC27" s="23" t="e">
        <f>HY27*100/HP27-100</f>
        <v>#DIV/0!</v>
      </c>
      <c r="ID27" s="23" t="e">
        <f>HZ27*100/HQ27-100</f>
        <v>#DIV/0!</v>
      </c>
      <c r="IE27" s="23" t="e">
        <f>IA27*100/HR27-100</f>
        <v>#DIV/0!</v>
      </c>
      <c r="IF27" s="23" t="e">
        <f>IB27*100/HS27-100</f>
        <v>#DIV/0!</v>
      </c>
      <c r="IG27" s="23"/>
      <c r="IH27" s="1"/>
      <c r="II27" s="29"/>
      <c r="IJ27" s="30"/>
      <c r="IK27" s="29"/>
      <c r="IL27" s="25"/>
      <c r="IM27" s="25"/>
      <c r="IN27" s="25"/>
      <c r="IP27" s="30"/>
      <c r="IQ27" s="30"/>
      <c r="IR27" s="30"/>
    </row>
    <row r="28" spans="1:252" ht="12">
      <c r="A28" s="1" t="s">
        <v>25</v>
      </c>
      <c r="B28" s="20">
        <v>14</v>
      </c>
      <c r="C28" s="10">
        <f>D28/B28</f>
        <v>21.428571428571427</v>
      </c>
      <c r="D28" s="11">
        <v>300</v>
      </c>
      <c r="E28" s="9"/>
      <c r="F28" s="20">
        <v>14</v>
      </c>
      <c r="G28" s="10">
        <f>H28/F28</f>
        <v>20</v>
      </c>
      <c r="H28" s="11">
        <v>280</v>
      </c>
      <c r="I28" s="23">
        <f aca="true" t="shared" si="130" ref="I28:K33">F28*100/B28-100</f>
        <v>0</v>
      </c>
      <c r="J28" s="23">
        <f t="shared" si="130"/>
        <v>-6.666666666666657</v>
      </c>
      <c r="K28" s="23">
        <f t="shared" si="130"/>
        <v>-6.666666666666671</v>
      </c>
      <c r="L28" s="8"/>
      <c r="M28" s="20">
        <v>0</v>
      </c>
      <c r="N28" s="10">
        <v>0</v>
      </c>
      <c r="O28" s="11">
        <v>0</v>
      </c>
      <c r="P28" s="23">
        <f aca="true" t="shared" si="131" ref="P28:R33">M28*100/F28-100</f>
        <v>-100</v>
      </c>
      <c r="Q28" s="23">
        <f t="shared" si="131"/>
        <v>-100</v>
      </c>
      <c r="R28" s="23">
        <f t="shared" si="131"/>
        <v>-100</v>
      </c>
      <c r="S28" s="8"/>
      <c r="T28" s="20" t="s">
        <v>1</v>
      </c>
      <c r="U28" s="10" t="s">
        <v>1</v>
      </c>
      <c r="V28" s="11" t="s">
        <v>1</v>
      </c>
      <c r="W28" s="23" t="s">
        <v>1</v>
      </c>
      <c r="X28" s="23" t="s">
        <v>1</v>
      </c>
      <c r="Y28" s="23" t="s">
        <v>1</v>
      </c>
      <c r="Z28" s="6"/>
      <c r="AA28" s="20" t="s">
        <v>1</v>
      </c>
      <c r="AB28" s="10" t="s">
        <v>1</v>
      </c>
      <c r="AC28" s="11" t="s">
        <v>1</v>
      </c>
      <c r="AD28" s="23" t="s">
        <v>1</v>
      </c>
      <c r="AE28" s="23" t="s">
        <v>1</v>
      </c>
      <c r="AF28" s="23" t="s">
        <v>1</v>
      </c>
      <c r="AG28" s="6"/>
      <c r="AH28" s="20" t="s">
        <v>1</v>
      </c>
      <c r="AI28" s="10" t="s">
        <v>1</v>
      </c>
      <c r="AJ28" s="11" t="s">
        <v>1</v>
      </c>
      <c r="AK28" s="23" t="s">
        <v>1</v>
      </c>
      <c r="AL28" s="23" t="s">
        <v>1</v>
      </c>
      <c r="AM28" s="23" t="s">
        <v>1</v>
      </c>
      <c r="AN28" s="6"/>
      <c r="AO28" s="20" t="s">
        <v>1</v>
      </c>
      <c r="AP28" s="10" t="s">
        <v>1</v>
      </c>
      <c r="AQ28" s="11" t="s">
        <v>1</v>
      </c>
      <c r="AR28" s="23" t="s">
        <v>1</v>
      </c>
      <c r="AS28" s="23" t="s">
        <v>1</v>
      </c>
      <c r="AT28" s="23" t="s">
        <v>1</v>
      </c>
      <c r="AU28" s="6"/>
      <c r="AV28" s="20" t="s">
        <v>1</v>
      </c>
      <c r="AW28" s="10" t="s">
        <v>1</v>
      </c>
      <c r="AX28" s="11" t="s">
        <v>1</v>
      </c>
      <c r="AY28" s="23" t="s">
        <v>1</v>
      </c>
      <c r="AZ28" s="23" t="s">
        <v>1</v>
      </c>
      <c r="BA28" s="23" t="s">
        <v>1</v>
      </c>
      <c r="BB28" s="6"/>
      <c r="BC28" s="20" t="s">
        <v>1</v>
      </c>
      <c r="BD28" s="10" t="s">
        <v>1</v>
      </c>
      <c r="BE28" s="11" t="s">
        <v>1</v>
      </c>
      <c r="BF28" s="23" t="s">
        <v>1</v>
      </c>
      <c r="BG28" s="23" t="s">
        <v>1</v>
      </c>
      <c r="BH28" s="23" t="s">
        <v>1</v>
      </c>
      <c r="BI28" s="6"/>
      <c r="BJ28" s="20" t="s">
        <v>1</v>
      </c>
      <c r="BK28" s="10" t="s">
        <v>1</v>
      </c>
      <c r="BL28" s="11" t="s">
        <v>1</v>
      </c>
      <c r="BM28" s="23" t="s">
        <v>1</v>
      </c>
      <c r="BN28" s="23" t="s">
        <v>1</v>
      </c>
      <c r="BO28" s="23" t="s">
        <v>1</v>
      </c>
      <c r="BP28" s="6"/>
      <c r="BQ28" s="20" t="s">
        <v>1</v>
      </c>
      <c r="BR28" s="10" t="s">
        <v>1</v>
      </c>
      <c r="BS28" s="11" t="s">
        <v>1</v>
      </c>
      <c r="BT28" s="23" t="s">
        <v>1</v>
      </c>
      <c r="BU28" s="23" t="s">
        <v>1</v>
      </c>
      <c r="BV28" s="23" t="s">
        <v>1</v>
      </c>
      <c r="BW28" s="6"/>
      <c r="BX28" s="20" t="s">
        <v>1</v>
      </c>
      <c r="BY28" s="10" t="s">
        <v>1</v>
      </c>
      <c r="BZ28" s="11" t="s">
        <v>1</v>
      </c>
      <c r="CA28" s="23" t="s">
        <v>1</v>
      </c>
      <c r="CB28" s="23" t="s">
        <v>1</v>
      </c>
      <c r="CC28" s="23" t="s">
        <v>1</v>
      </c>
      <c r="CD28" s="6"/>
      <c r="CE28" s="20" t="s">
        <v>1</v>
      </c>
      <c r="CF28" s="10" t="s">
        <v>1</v>
      </c>
      <c r="CG28" s="11" t="s">
        <v>1</v>
      </c>
      <c r="CH28" s="23" t="s">
        <v>1</v>
      </c>
      <c r="CI28" s="23" t="s">
        <v>1</v>
      </c>
      <c r="CJ28" s="23" t="s">
        <v>1</v>
      </c>
      <c r="CK28" s="6"/>
      <c r="CL28" s="20" t="s">
        <v>1</v>
      </c>
      <c r="CM28" s="10" t="s">
        <v>1</v>
      </c>
      <c r="CN28" s="11" t="s">
        <v>1</v>
      </c>
      <c r="CO28" s="23" t="s">
        <v>1</v>
      </c>
      <c r="CP28" s="23" t="s">
        <v>1</v>
      </c>
      <c r="CQ28" s="23" t="s">
        <v>1</v>
      </c>
      <c r="CR28" s="6"/>
      <c r="CS28" s="20" t="s">
        <v>1</v>
      </c>
      <c r="CT28" s="10" t="s">
        <v>1</v>
      </c>
      <c r="CU28" s="11" t="s">
        <v>1</v>
      </c>
      <c r="CV28" s="23" t="s">
        <v>1</v>
      </c>
      <c r="CW28" s="23" t="s">
        <v>1</v>
      </c>
      <c r="CX28" s="23" t="s">
        <v>1</v>
      </c>
      <c r="CY28" s="6"/>
      <c r="CZ28" s="20" t="s">
        <v>1</v>
      </c>
      <c r="DA28" s="10" t="s">
        <v>1</v>
      </c>
      <c r="DB28" s="11" t="s">
        <v>1</v>
      </c>
      <c r="DC28" s="23" t="s">
        <v>1</v>
      </c>
      <c r="DD28" s="23" t="s">
        <v>1</v>
      </c>
      <c r="DE28" s="23" t="s">
        <v>1</v>
      </c>
      <c r="DF28" s="6"/>
      <c r="DG28" s="20" t="s">
        <v>1</v>
      </c>
      <c r="DH28" s="10" t="s">
        <v>1</v>
      </c>
      <c r="DI28" s="11" t="s">
        <v>1</v>
      </c>
      <c r="DJ28" s="23" t="s">
        <v>1</v>
      </c>
      <c r="DK28" s="23" t="s">
        <v>1</v>
      </c>
      <c r="DL28" s="23" t="s">
        <v>1</v>
      </c>
      <c r="DM28" s="6"/>
      <c r="DN28" s="20" t="s">
        <v>1</v>
      </c>
      <c r="DO28" s="10" t="s">
        <v>1</v>
      </c>
      <c r="DP28" s="11" t="s">
        <v>1</v>
      </c>
      <c r="DQ28" s="23" t="s">
        <v>1</v>
      </c>
      <c r="DR28" s="23" t="s">
        <v>1</v>
      </c>
      <c r="DS28" s="23" t="s">
        <v>1</v>
      </c>
      <c r="DT28" s="6"/>
      <c r="DU28" s="20" t="s">
        <v>1</v>
      </c>
      <c r="DV28" s="10" t="s">
        <v>1</v>
      </c>
      <c r="DW28" s="11" t="s">
        <v>1</v>
      </c>
      <c r="DX28" s="23" t="s">
        <v>1</v>
      </c>
      <c r="DY28" s="23" t="s">
        <v>1</v>
      </c>
      <c r="DZ28" s="23" t="s">
        <v>1</v>
      </c>
      <c r="EA28" s="6"/>
      <c r="EB28" s="20" t="s">
        <v>1</v>
      </c>
      <c r="EC28" s="10" t="s">
        <v>1</v>
      </c>
      <c r="ED28" s="11" t="s">
        <v>1</v>
      </c>
      <c r="EE28" s="23" t="s">
        <v>1</v>
      </c>
      <c r="EF28" s="23" t="s">
        <v>1</v>
      </c>
      <c r="EG28" s="23" t="s">
        <v>1</v>
      </c>
      <c r="EH28" s="6"/>
      <c r="EI28" s="20" t="s">
        <v>1</v>
      </c>
      <c r="EJ28" s="10" t="s">
        <v>1</v>
      </c>
      <c r="EK28" s="11" t="s">
        <v>1</v>
      </c>
      <c r="EL28" s="23" t="s">
        <v>1</v>
      </c>
      <c r="EM28" s="23" t="s">
        <v>1</v>
      </c>
      <c r="EN28" s="23" t="s">
        <v>1</v>
      </c>
      <c r="EO28" s="6"/>
      <c r="EP28" s="20" t="s">
        <v>1</v>
      </c>
      <c r="EQ28" s="10" t="s">
        <v>1</v>
      </c>
      <c r="ER28" s="11" t="s">
        <v>1</v>
      </c>
      <c r="ES28" s="23" t="s">
        <v>1</v>
      </c>
      <c r="ET28" s="23" t="s">
        <v>1</v>
      </c>
      <c r="EU28" s="23" t="s">
        <v>1</v>
      </c>
      <c r="EV28" s="6"/>
      <c r="EW28" s="20" t="s">
        <v>1</v>
      </c>
      <c r="EX28" s="10" t="s">
        <v>1</v>
      </c>
      <c r="EY28" s="11"/>
      <c r="EZ28" s="11" t="s">
        <v>1</v>
      </c>
      <c r="FA28" s="23" t="s">
        <v>1</v>
      </c>
      <c r="FB28" s="23" t="s">
        <v>1</v>
      </c>
      <c r="FC28" s="23" t="s">
        <v>1</v>
      </c>
      <c r="FD28" s="6"/>
      <c r="FE28" s="20" t="s">
        <v>1</v>
      </c>
      <c r="FF28" s="10" t="s">
        <v>1</v>
      </c>
      <c r="FG28" s="10" t="s">
        <v>1</v>
      </c>
      <c r="FH28" s="11" t="s">
        <v>1</v>
      </c>
      <c r="FI28" s="23" t="s">
        <v>1</v>
      </c>
      <c r="FJ28" s="23" t="s">
        <v>1</v>
      </c>
      <c r="FK28" s="23" t="s">
        <v>1</v>
      </c>
      <c r="FL28" s="23" t="s">
        <v>1</v>
      </c>
      <c r="FM28" s="23"/>
      <c r="FN28" s="20" t="s">
        <v>1</v>
      </c>
      <c r="FO28" s="10" t="s">
        <v>1</v>
      </c>
      <c r="FP28" s="11"/>
      <c r="FQ28" s="11" t="s">
        <v>1</v>
      </c>
      <c r="FR28" s="23" t="s">
        <v>1</v>
      </c>
      <c r="FS28" s="23" t="s">
        <v>1</v>
      </c>
      <c r="FT28" s="23" t="s">
        <v>1</v>
      </c>
      <c r="FU28" s="23" t="s">
        <v>1</v>
      </c>
      <c r="FV28" s="23"/>
      <c r="FW28" s="20" t="s">
        <v>1</v>
      </c>
      <c r="FX28" s="10" t="s">
        <v>1</v>
      </c>
      <c r="FY28" s="20" t="s">
        <v>1</v>
      </c>
      <c r="FZ28" s="20" t="s">
        <v>1</v>
      </c>
      <c r="GA28" s="23" t="s">
        <v>1</v>
      </c>
      <c r="GB28" s="23" t="s">
        <v>1</v>
      </c>
      <c r="GC28" s="23" t="s">
        <v>1</v>
      </c>
      <c r="GD28" s="23" t="s">
        <v>1</v>
      </c>
      <c r="GE28" s="23"/>
      <c r="GF28" s="20" t="s">
        <v>1</v>
      </c>
      <c r="GG28" s="10" t="s">
        <v>1</v>
      </c>
      <c r="GH28" s="20" t="s">
        <v>1</v>
      </c>
      <c r="GI28" s="20" t="s">
        <v>1</v>
      </c>
      <c r="GJ28" s="23" t="s">
        <v>1</v>
      </c>
      <c r="GK28" s="23" t="s">
        <v>1</v>
      </c>
      <c r="GL28" s="23" t="e">
        <f t="shared" si="57"/>
        <v>#DIV/0!</v>
      </c>
      <c r="GM28" s="23" t="e">
        <f t="shared" si="57"/>
        <v>#DIV/0!</v>
      </c>
      <c r="GN28" s="23"/>
      <c r="GO28" s="20" t="s">
        <v>1</v>
      </c>
      <c r="GP28" s="10" t="s">
        <v>1</v>
      </c>
      <c r="GQ28" s="20" t="s">
        <v>1</v>
      </c>
      <c r="GR28" s="20" t="s">
        <v>1</v>
      </c>
      <c r="GS28" s="23" t="s">
        <v>1</v>
      </c>
      <c r="GT28" s="23" t="s">
        <v>1</v>
      </c>
      <c r="GU28" s="23" t="e">
        <f t="shared" si="59"/>
        <v>#DIV/0!</v>
      </c>
      <c r="GV28" s="23" t="e">
        <f t="shared" si="60"/>
        <v>#DIV/0!</v>
      </c>
      <c r="GW28" s="23"/>
      <c r="GX28" s="20" t="s">
        <v>1</v>
      </c>
      <c r="GY28" s="10" t="s">
        <v>1</v>
      </c>
      <c r="GZ28" s="20" t="s">
        <v>1</v>
      </c>
      <c r="HA28" s="20" t="s">
        <v>1</v>
      </c>
      <c r="HB28" s="23" t="s">
        <v>1</v>
      </c>
      <c r="HC28" s="23" t="s">
        <v>1</v>
      </c>
      <c r="HD28" s="23" t="e">
        <f t="shared" si="62"/>
        <v>#DIV/0!</v>
      </c>
      <c r="HE28" s="23" t="e">
        <f t="shared" si="63"/>
        <v>#DIV/0!</v>
      </c>
      <c r="HF28" s="23"/>
      <c r="HG28" s="20" t="s">
        <v>1</v>
      </c>
      <c r="HH28" s="10" t="s">
        <v>1</v>
      </c>
      <c r="HI28" s="20" t="s">
        <v>1</v>
      </c>
      <c r="HJ28" s="20" t="s">
        <v>1</v>
      </c>
      <c r="HK28" s="23" t="s">
        <v>1</v>
      </c>
      <c r="HL28" s="23" t="s">
        <v>1</v>
      </c>
      <c r="HM28" s="23" t="e">
        <f t="shared" si="105"/>
        <v>#DIV/0!</v>
      </c>
      <c r="HN28" s="23" t="e">
        <f t="shared" si="106"/>
        <v>#DIV/0!</v>
      </c>
      <c r="HO28" s="23"/>
      <c r="HP28" s="20" t="s">
        <v>1</v>
      </c>
      <c r="HQ28" s="10" t="s">
        <v>1</v>
      </c>
      <c r="HR28" s="20" t="s">
        <v>1</v>
      </c>
      <c r="HS28" s="20" t="s">
        <v>1</v>
      </c>
      <c r="HT28" s="23" t="s">
        <v>1</v>
      </c>
      <c r="HU28" s="23" t="s">
        <v>1</v>
      </c>
      <c r="HV28" s="23" t="e">
        <f t="shared" si="64"/>
        <v>#DIV/0!</v>
      </c>
      <c r="HW28" s="23" t="e">
        <f t="shared" si="65"/>
        <v>#DIV/0!</v>
      </c>
      <c r="HX28" s="23"/>
      <c r="HY28" s="20" t="s">
        <v>1</v>
      </c>
      <c r="HZ28" s="10" t="s">
        <v>1</v>
      </c>
      <c r="IA28" s="20" t="s">
        <v>1</v>
      </c>
      <c r="IB28" s="20" t="s">
        <v>1</v>
      </c>
      <c r="IC28" s="23" t="s">
        <v>1</v>
      </c>
      <c r="ID28" s="23" t="s">
        <v>1</v>
      </c>
      <c r="IE28" s="23" t="e">
        <f t="shared" si="42"/>
        <v>#DIV/0!</v>
      </c>
      <c r="IF28" s="23" t="e">
        <f t="shared" si="43"/>
        <v>#DIV/0!</v>
      </c>
      <c r="IG28" s="23"/>
      <c r="IH28" s="1" t="s">
        <v>25</v>
      </c>
      <c r="II28" s="29" t="e">
        <f t="shared" si="44"/>
        <v>#DIV/0!</v>
      </c>
      <c r="IJ28" s="30" t="e">
        <f t="shared" si="45"/>
        <v>#DIV/0!</v>
      </c>
      <c r="IK28" s="29" t="e">
        <f t="shared" si="46"/>
        <v>#DIV/0!</v>
      </c>
      <c r="IL28" s="25" t="e">
        <f t="shared" si="47"/>
        <v>#DIV/0!</v>
      </c>
      <c r="IM28" s="25" t="e">
        <f t="shared" si="48"/>
        <v>#DIV/0!</v>
      </c>
      <c r="IN28" s="25" t="e">
        <f t="shared" si="49"/>
        <v>#DIV/0!</v>
      </c>
      <c r="IP28" s="30" t="e">
        <f>HP28*100/Italia!BR28</f>
        <v>#DIV/0!</v>
      </c>
      <c r="IQ28" s="30" t="e">
        <f>HR28*100/Italia!BT28</f>
        <v>#DIV/0!</v>
      </c>
      <c r="IR28" s="30" t="e">
        <f>HS28*100/Italia!BU28</f>
        <v>#DIV/0!</v>
      </c>
    </row>
    <row r="29" spans="1:252" ht="12">
      <c r="A29" s="1" t="s">
        <v>26</v>
      </c>
      <c r="B29" s="20">
        <v>7359</v>
      </c>
      <c r="C29" s="10">
        <v>281.7</v>
      </c>
      <c r="D29" s="11">
        <v>2072800</v>
      </c>
      <c r="E29" s="9"/>
      <c r="F29" s="20">
        <v>7017</v>
      </c>
      <c r="G29" s="10">
        <f>H29/F29</f>
        <v>293.2806042468291</v>
      </c>
      <c r="H29" s="11">
        <v>2057950</v>
      </c>
      <c r="I29" s="23">
        <f t="shared" si="130"/>
        <v>-4.6473705666530805</v>
      </c>
      <c r="J29" s="23">
        <f t="shared" si="130"/>
        <v>4.110970623652506</v>
      </c>
      <c r="K29" s="23">
        <f t="shared" si="130"/>
        <v>-0.7164222307989263</v>
      </c>
      <c r="L29" s="8"/>
      <c r="M29" s="20">
        <v>6615</v>
      </c>
      <c r="N29" s="10">
        <f>O29/M29</f>
        <v>304.64096749811034</v>
      </c>
      <c r="O29" s="11">
        <v>2015200</v>
      </c>
      <c r="P29" s="23">
        <f t="shared" si="131"/>
        <v>-5.728943993159476</v>
      </c>
      <c r="Q29" s="23">
        <f t="shared" si="131"/>
        <v>3.873547410492975</v>
      </c>
      <c r="R29" s="23">
        <f t="shared" si="131"/>
        <v>-2.0773099443621135</v>
      </c>
      <c r="S29" s="8"/>
      <c r="T29" s="20">
        <v>6483</v>
      </c>
      <c r="U29" s="10">
        <v>317.1</v>
      </c>
      <c r="V29" s="11">
        <v>2055900</v>
      </c>
      <c r="W29" s="23">
        <f aca="true" t="shared" si="132" ref="W29:Y33">T29*100/M29-100</f>
        <v>-1.9954648526077108</v>
      </c>
      <c r="X29" s="23">
        <f t="shared" si="132"/>
        <v>4.089742953553014</v>
      </c>
      <c r="Y29" s="23">
        <f t="shared" si="132"/>
        <v>2.0196506550218345</v>
      </c>
      <c r="Z29" s="8"/>
      <c r="AA29" s="20">
        <v>6124</v>
      </c>
      <c r="AB29" s="10">
        <f>AC29/AA29</f>
        <v>344.59503592423255</v>
      </c>
      <c r="AC29" s="11">
        <v>2110300</v>
      </c>
      <c r="AD29" s="23">
        <f aca="true" t="shared" si="133" ref="AD29:AF33">AA29*100/T29-100</f>
        <v>-5.537559771710633</v>
      </c>
      <c r="AE29" s="23">
        <f t="shared" si="133"/>
        <v>8.670777648764599</v>
      </c>
      <c r="AF29" s="23">
        <f t="shared" si="133"/>
        <v>2.6460430954813035</v>
      </c>
      <c r="AG29" s="8"/>
      <c r="AH29" s="20">
        <v>6652</v>
      </c>
      <c r="AI29" s="10">
        <v>291.4</v>
      </c>
      <c r="AJ29" s="11">
        <v>1930600</v>
      </c>
      <c r="AK29" s="23">
        <f aca="true" t="shared" si="134" ref="AK29:AM33">AH29*100/AA29-100</f>
        <v>8.621815806662312</v>
      </c>
      <c r="AL29" s="23">
        <f t="shared" si="134"/>
        <v>-15.436971046770623</v>
      </c>
      <c r="AM29" s="23">
        <f t="shared" si="134"/>
        <v>-8.515376960621708</v>
      </c>
      <c r="AN29" s="8"/>
      <c r="AO29" s="20">
        <v>7186</v>
      </c>
      <c r="AP29" s="10">
        <v>227</v>
      </c>
      <c r="AQ29" s="11">
        <v>1631100</v>
      </c>
      <c r="AR29" s="23">
        <f aca="true" t="shared" si="135" ref="AR29:AT33">AO29*100/AH29-100</f>
        <v>8.02766085387853</v>
      </c>
      <c r="AS29" s="23">
        <f t="shared" si="135"/>
        <v>-22.100205902539457</v>
      </c>
      <c r="AT29" s="23">
        <f t="shared" si="135"/>
        <v>-15.513311923754273</v>
      </c>
      <c r="AU29" s="8"/>
      <c r="AV29" s="20">
        <v>7360</v>
      </c>
      <c r="AW29" s="10">
        <v>380.7</v>
      </c>
      <c r="AX29" s="11">
        <v>2739442</v>
      </c>
      <c r="AY29" s="23">
        <f aca="true" t="shared" si="136" ref="AY29:BA33">AV29*100/AO29-100</f>
        <v>2.421374895630393</v>
      </c>
      <c r="AZ29" s="23">
        <f t="shared" si="136"/>
        <v>67.7092511013216</v>
      </c>
      <c r="BA29" s="23">
        <f t="shared" si="136"/>
        <v>67.95058549445159</v>
      </c>
      <c r="BB29" s="8"/>
      <c r="BC29" s="20">
        <v>6435</v>
      </c>
      <c r="BD29" s="10">
        <v>319</v>
      </c>
      <c r="BE29" s="11">
        <v>2052950</v>
      </c>
      <c r="BF29" s="23">
        <f aca="true" t="shared" si="137" ref="BF29:BH33">BC29*100/AV29-100</f>
        <v>-12.567934782608702</v>
      </c>
      <c r="BG29" s="23">
        <f t="shared" si="137"/>
        <v>-16.20698712897294</v>
      </c>
      <c r="BH29" s="23">
        <f t="shared" si="137"/>
        <v>-25.05955592416265</v>
      </c>
      <c r="BI29" s="8"/>
      <c r="BJ29" s="20">
        <v>6490</v>
      </c>
      <c r="BK29" s="10">
        <v>282.12</v>
      </c>
      <c r="BL29" s="11">
        <v>1826602</v>
      </c>
      <c r="BM29" s="23">
        <f aca="true" t="shared" si="138" ref="BM29:BO33">BJ29*100/BC29-100</f>
        <v>0.8547008547008517</v>
      </c>
      <c r="BN29" s="23">
        <f t="shared" si="138"/>
        <v>-11.561128526645774</v>
      </c>
      <c r="BO29" s="23">
        <f t="shared" si="138"/>
        <v>-11.025499890401619</v>
      </c>
      <c r="BP29" s="8"/>
      <c r="BQ29" s="20">
        <v>6851</v>
      </c>
      <c r="BR29" s="10">
        <v>325.11</v>
      </c>
      <c r="BS29" s="11">
        <v>2219908</v>
      </c>
      <c r="BT29" s="23">
        <f aca="true" t="shared" si="139" ref="BT29:BV33">BQ29*100/BJ29-100</f>
        <v>5.562403697996913</v>
      </c>
      <c r="BU29" s="23">
        <f t="shared" si="139"/>
        <v>15.2381965121225</v>
      </c>
      <c r="BV29" s="23">
        <f t="shared" si="139"/>
        <v>21.532112633184454</v>
      </c>
      <c r="BW29" s="8"/>
      <c r="BX29" s="20">
        <v>6844</v>
      </c>
      <c r="BY29" s="10">
        <v>315.8</v>
      </c>
      <c r="BZ29" s="11">
        <v>2158908</v>
      </c>
      <c r="CA29" s="23">
        <f aca="true" t="shared" si="140" ref="CA29:CC33">BX29*100/BQ29-100</f>
        <v>-0.10217486498321193</v>
      </c>
      <c r="CB29" s="23">
        <f t="shared" si="140"/>
        <v>-2.8636461505336683</v>
      </c>
      <c r="CC29" s="23">
        <f t="shared" si="140"/>
        <v>-2.7478616230942947</v>
      </c>
      <c r="CD29" s="8"/>
      <c r="CE29" s="20">
        <v>6840</v>
      </c>
      <c r="CF29" s="10">
        <v>316.5</v>
      </c>
      <c r="CG29" s="11">
        <v>2148625</v>
      </c>
      <c r="CH29" s="23">
        <f aca="true" t="shared" si="141" ref="CH29:CI33">CE29*100/BX29-100</f>
        <v>-0.05844535359439362</v>
      </c>
      <c r="CI29" s="23">
        <f t="shared" si="141"/>
        <v>0.22165927802406316</v>
      </c>
      <c r="CJ29" s="23">
        <f aca="true" t="shared" si="142" ref="CJ29:CJ34">CG29*100/BZ29-100</f>
        <v>-0.4763056137639978</v>
      </c>
      <c r="CK29" s="8"/>
      <c r="CL29" s="20">
        <v>7518</v>
      </c>
      <c r="CM29" s="10">
        <v>318.3</v>
      </c>
      <c r="CN29" s="11">
        <v>2393290</v>
      </c>
      <c r="CO29" s="23">
        <f aca="true" t="shared" si="143" ref="CO29:CQ33">CL29*100/CE29-100</f>
        <v>9.912280701754383</v>
      </c>
      <c r="CP29" s="23">
        <f t="shared" si="143"/>
        <v>0.5687203791469244</v>
      </c>
      <c r="CQ29" s="23">
        <f t="shared" si="143"/>
        <v>11.387049857466991</v>
      </c>
      <c r="CR29" s="8"/>
      <c r="CS29" s="20">
        <v>7480</v>
      </c>
      <c r="CT29" s="10">
        <v>325.2</v>
      </c>
      <c r="CU29" s="11">
        <v>2426430</v>
      </c>
      <c r="CV29" s="23">
        <f aca="true" t="shared" si="144" ref="CV29:CX33">CS29*100/CL29-100</f>
        <v>-0.5054535780792833</v>
      </c>
      <c r="CW29" s="23">
        <f t="shared" si="144"/>
        <v>2.167766258246928</v>
      </c>
      <c r="CX29" s="23">
        <f t="shared" si="144"/>
        <v>1.3847047369938394</v>
      </c>
      <c r="CY29" s="8"/>
      <c r="CZ29" s="20">
        <v>7610</v>
      </c>
      <c r="DA29" s="10">
        <v>320.5</v>
      </c>
      <c r="DB29" s="11">
        <v>2438100</v>
      </c>
      <c r="DC29" s="23">
        <f aca="true" t="shared" si="145" ref="DC29:DE33">CZ29*100/CS29-100</f>
        <v>1.7379679144384994</v>
      </c>
      <c r="DD29" s="23">
        <f t="shared" si="145"/>
        <v>-1.4452644526445226</v>
      </c>
      <c r="DE29" s="23">
        <f t="shared" si="145"/>
        <v>0.4809534995858087</v>
      </c>
      <c r="DF29" s="8"/>
      <c r="DG29" s="20">
        <v>7901</v>
      </c>
      <c r="DH29" s="10">
        <v>319.1</v>
      </c>
      <c r="DI29" s="11">
        <v>2342035</v>
      </c>
      <c r="DJ29" s="23">
        <f aca="true" t="shared" si="146" ref="DJ29:DL33">DG29*100/CZ29-100</f>
        <v>3.8239159001314107</v>
      </c>
      <c r="DK29" s="23">
        <f t="shared" si="146"/>
        <v>-0.43681747269889115</v>
      </c>
      <c r="DL29" s="23">
        <f t="shared" si="146"/>
        <v>-3.9401583200032775</v>
      </c>
      <c r="DM29" s="8"/>
      <c r="DN29" s="20">
        <v>7753</v>
      </c>
      <c r="DO29" s="10">
        <v>337.1</v>
      </c>
      <c r="DP29" s="11">
        <v>2408232</v>
      </c>
      <c r="DQ29" s="23">
        <f aca="true" t="shared" si="147" ref="DQ29:DS33">DN29*100/DG29-100</f>
        <v>-1.87318061004936</v>
      </c>
      <c r="DR29" s="23">
        <f t="shared" si="147"/>
        <v>5.640864932622989</v>
      </c>
      <c r="DS29" s="23">
        <f t="shared" si="147"/>
        <v>2.826473558251692</v>
      </c>
      <c r="DT29" s="8"/>
      <c r="DU29" s="20">
        <v>7150</v>
      </c>
      <c r="DV29" s="10">
        <v>194.7</v>
      </c>
      <c r="DW29" s="11">
        <v>1387500</v>
      </c>
      <c r="DX29" s="23">
        <f aca="true" t="shared" si="148" ref="DX29:DZ33">DU29*100/DN29-100</f>
        <v>-7.777634464078417</v>
      </c>
      <c r="DY29" s="23">
        <f t="shared" si="148"/>
        <v>-42.24265796499555</v>
      </c>
      <c r="DZ29" s="23">
        <f t="shared" si="148"/>
        <v>-42.38511904168701</v>
      </c>
      <c r="EA29" s="8"/>
      <c r="EB29" s="20">
        <v>6816</v>
      </c>
      <c r="EC29" s="10">
        <v>343.8</v>
      </c>
      <c r="ED29" s="11">
        <v>2343350</v>
      </c>
      <c r="EE29" s="23">
        <f aca="true" t="shared" si="149" ref="EE29:EG33">EB29*100/DU29-100</f>
        <v>-4.671328671328666</v>
      </c>
      <c r="EF29" s="23">
        <f t="shared" si="149"/>
        <v>76.5793528505393</v>
      </c>
      <c r="EG29" s="23">
        <f t="shared" si="149"/>
        <v>68.8900900900901</v>
      </c>
      <c r="EH29" s="8"/>
      <c r="EI29" s="20">
        <v>6665</v>
      </c>
      <c r="EJ29" s="10">
        <v>362.2</v>
      </c>
      <c r="EK29" s="11">
        <v>2410083</v>
      </c>
      <c r="EL29" s="23">
        <f aca="true" t="shared" si="150" ref="EL29:EN33">EI29*100/EB29-100</f>
        <v>-2.2153755868544636</v>
      </c>
      <c r="EM29" s="23">
        <f t="shared" si="150"/>
        <v>5.351948807446192</v>
      </c>
      <c r="EN29" s="23">
        <f t="shared" si="150"/>
        <v>2.8477606844901544</v>
      </c>
      <c r="EO29" s="8"/>
      <c r="EP29" s="20">
        <v>7018</v>
      </c>
      <c r="EQ29" s="10">
        <v>356.6</v>
      </c>
      <c r="ER29" s="11">
        <v>2502645</v>
      </c>
      <c r="ES29" s="23">
        <f aca="true" t="shared" si="151" ref="ES29:EU33">EP29*100/EI29-100</f>
        <v>5.296324081020259</v>
      </c>
      <c r="ET29" s="23">
        <f t="shared" si="151"/>
        <v>-1.5461071231363803</v>
      </c>
      <c r="EU29" s="23">
        <f t="shared" si="151"/>
        <v>3.840614617836806</v>
      </c>
      <c r="EV29" s="8"/>
      <c r="EW29" s="20">
        <v>7716</v>
      </c>
      <c r="EX29" s="10">
        <f>EY29/EW29</f>
        <v>332.2213582166926</v>
      </c>
      <c r="EY29" s="11">
        <v>2563420</v>
      </c>
      <c r="EZ29" s="11">
        <v>2561679</v>
      </c>
      <c r="FA29" s="23">
        <f aca="true" t="shared" si="152" ref="FA29:FB33">EW29*100/EP29-100</f>
        <v>9.945853519521236</v>
      </c>
      <c r="FB29" s="23">
        <f t="shared" si="152"/>
        <v>-6.8364110441131345</v>
      </c>
      <c r="FC29" s="23">
        <f aca="true" t="shared" si="153" ref="FC29:FC34">EZ29*100/ER29-100</f>
        <v>2.3588643215477987</v>
      </c>
      <c r="FD29" s="8"/>
      <c r="FE29" s="20">
        <v>6972</v>
      </c>
      <c r="FF29" s="10">
        <f t="shared" si="50"/>
        <v>322.10843373493975</v>
      </c>
      <c r="FG29" s="11">
        <v>2245740</v>
      </c>
      <c r="FH29" s="11">
        <v>2244831</v>
      </c>
      <c r="FI29" s="23">
        <f aca="true" t="shared" si="154" ref="FI29:FK34">FE29*100/EW29-100</f>
        <v>-9.642301710730948</v>
      </c>
      <c r="FJ29" s="23">
        <f t="shared" si="154"/>
        <v>-3.044032008067532</v>
      </c>
      <c r="FK29" s="23">
        <f t="shared" si="154"/>
        <v>-12.392818968409387</v>
      </c>
      <c r="FL29" s="23">
        <f>FH29*100/EZ29-100</f>
        <v>-12.36876283094017</v>
      </c>
      <c r="FM29" s="23"/>
      <c r="FN29" s="20">
        <v>6452</v>
      </c>
      <c r="FO29" s="10">
        <f t="shared" si="51"/>
        <v>381.1825790452573</v>
      </c>
      <c r="FP29" s="11">
        <v>2459390</v>
      </c>
      <c r="FQ29" s="11">
        <v>2224790</v>
      </c>
      <c r="FR29" s="23">
        <f t="shared" si="52"/>
        <v>-7.458405048766494</v>
      </c>
      <c r="FS29" s="23">
        <f t="shared" si="52"/>
        <v>18.33983190857063</v>
      </c>
      <c r="FT29" s="23">
        <f t="shared" si="53"/>
        <v>9.513567910800006</v>
      </c>
      <c r="FU29" s="23">
        <f t="shared" si="53"/>
        <v>-0.8927620832035927</v>
      </c>
      <c r="FV29" s="23"/>
      <c r="FW29" s="20">
        <v>5897</v>
      </c>
      <c r="FX29" s="10">
        <f>FY29/FW29</f>
        <v>372.29048668814653</v>
      </c>
      <c r="FY29" s="20">
        <v>2195397</v>
      </c>
      <c r="FZ29" s="20">
        <v>2194166</v>
      </c>
      <c r="GA29" s="23">
        <f aca="true" t="shared" si="155" ref="GA29:GD33">FW29*100/FN29-100</f>
        <v>-8.60198388096714</v>
      </c>
      <c r="GB29" s="23">
        <f t="shared" si="155"/>
        <v>-2.3327646240766313</v>
      </c>
      <c r="GC29" s="23">
        <f t="shared" si="155"/>
        <v>-10.734084468099809</v>
      </c>
      <c r="GD29" s="23">
        <f t="shared" si="155"/>
        <v>-1.3764894664215461</v>
      </c>
      <c r="GE29" s="23"/>
      <c r="GF29" s="20">
        <v>5964</v>
      </c>
      <c r="GG29" s="10">
        <f>GH29/GF29</f>
        <v>380.6681757209926</v>
      </c>
      <c r="GH29" s="20">
        <v>2270305</v>
      </c>
      <c r="GI29" s="20">
        <v>2270305</v>
      </c>
      <c r="GJ29" s="23">
        <f t="shared" si="55"/>
        <v>1.1361709343734105</v>
      </c>
      <c r="GK29" s="23">
        <f t="shared" si="56"/>
        <v>2.2503097265183953</v>
      </c>
      <c r="GL29" s="23">
        <f t="shared" si="57"/>
        <v>3.4120480259379065</v>
      </c>
      <c r="GM29" s="23">
        <f t="shared" si="57"/>
        <v>3.47006561946543</v>
      </c>
      <c r="GN29" s="23"/>
      <c r="GO29" s="20">
        <v>5588</v>
      </c>
      <c r="GP29" s="10">
        <f>GQ29/GO29</f>
        <v>383.96564065855404</v>
      </c>
      <c r="GQ29" s="20">
        <v>2145600</v>
      </c>
      <c r="GR29" s="20">
        <v>2145600</v>
      </c>
      <c r="GS29" s="23">
        <f aca="true" t="shared" si="156" ref="GS29:GS34">GO29*100/GF29-100</f>
        <v>-6.304493628437285</v>
      </c>
      <c r="GT29" s="23">
        <f t="shared" si="58"/>
        <v>0.8662307878287834</v>
      </c>
      <c r="GU29" s="23">
        <f t="shared" si="59"/>
        <v>-5.492874305434739</v>
      </c>
      <c r="GV29" s="23">
        <f t="shared" si="60"/>
        <v>-5.492874305434739</v>
      </c>
      <c r="GW29" s="23"/>
      <c r="GX29" s="20">
        <v>5216</v>
      </c>
      <c r="GY29" s="10">
        <f>GZ29/GX29</f>
        <v>357.9741180981595</v>
      </c>
      <c r="GZ29" s="20">
        <v>1867193</v>
      </c>
      <c r="HA29" s="20">
        <v>1867193</v>
      </c>
      <c r="HB29" s="23">
        <f aca="true" t="shared" si="157" ref="HB29:HB34">GX29*100/GO29-100</f>
        <v>-6.657122405153899</v>
      </c>
      <c r="HC29" s="23">
        <f>GY29*100/GP29-100</f>
        <v>-6.769231360341379</v>
      </c>
      <c r="HD29" s="23">
        <f t="shared" si="62"/>
        <v>-12.97571774794929</v>
      </c>
      <c r="HE29" s="23">
        <f t="shared" si="63"/>
        <v>-12.97571774794929</v>
      </c>
      <c r="HF29" s="23"/>
      <c r="HG29" s="20">
        <v>5770</v>
      </c>
      <c r="HH29" s="10">
        <f>HI29/HG29</f>
        <v>444.7998266897747</v>
      </c>
      <c r="HI29" s="20">
        <v>2566495</v>
      </c>
      <c r="HJ29" s="20">
        <v>2554495</v>
      </c>
      <c r="HK29" s="46"/>
      <c r="HL29" s="23">
        <f>HH29*100/GY29-100</f>
        <v>24.254744743251763</v>
      </c>
      <c r="HM29" s="23">
        <f t="shared" si="105"/>
        <v>37.45204700317535</v>
      </c>
      <c r="HN29" s="23">
        <f t="shared" si="106"/>
        <v>36.80937107197809</v>
      </c>
      <c r="HO29" s="23"/>
      <c r="HP29" s="20">
        <v>5403</v>
      </c>
      <c r="HQ29" s="10">
        <f>HR29/HP29</f>
        <v>399.5280399777901</v>
      </c>
      <c r="HR29" s="20">
        <v>2158650</v>
      </c>
      <c r="HS29" s="20">
        <v>2158650</v>
      </c>
      <c r="HT29" s="23">
        <f aca="true" t="shared" si="158" ref="HT29:HT35">HP29*100/HG29-100</f>
        <v>-6.360485268630853</v>
      </c>
      <c r="HU29" s="23">
        <f>HQ29*100/HH29-100</f>
        <v>-10.178013568238043</v>
      </c>
      <c r="HV29" s="23">
        <f t="shared" si="64"/>
        <v>-15.891127783221862</v>
      </c>
      <c r="HW29" s="23">
        <f t="shared" si="65"/>
        <v>-15.496017803910362</v>
      </c>
      <c r="HX29" s="23"/>
      <c r="HY29" s="20">
        <v>5403</v>
      </c>
      <c r="HZ29" s="10">
        <f>IA29/HY29</f>
        <v>399.5280399777901</v>
      </c>
      <c r="IA29" s="11">
        <v>2158650</v>
      </c>
      <c r="IB29" s="11">
        <v>2158650</v>
      </c>
      <c r="IC29" s="23">
        <f aca="true" t="shared" si="159" ref="IC29:IC35">HY29*100/HP29-100</f>
        <v>0</v>
      </c>
      <c r="ID29" s="23">
        <f>HZ29*100/HQ29-100</f>
        <v>0</v>
      </c>
      <c r="IE29" s="23">
        <f t="shared" si="42"/>
        <v>0</v>
      </c>
      <c r="IF29" s="23">
        <f t="shared" si="43"/>
        <v>0</v>
      </c>
      <c r="IG29" s="23"/>
      <c r="IH29" s="1" t="s">
        <v>26</v>
      </c>
      <c r="II29" s="29">
        <f t="shared" si="44"/>
        <v>6325.8</v>
      </c>
      <c r="IJ29" s="30">
        <f t="shared" si="45"/>
        <v>369.4010618852517</v>
      </c>
      <c r="IK29" s="29">
        <f t="shared" si="46"/>
        <v>2297578.7</v>
      </c>
      <c r="IL29" s="25">
        <f t="shared" si="47"/>
        <v>-14.58787821303234</v>
      </c>
      <c r="IM29" s="25">
        <f t="shared" si="48"/>
        <v>8.155628448598463</v>
      </c>
      <c r="IN29" s="25">
        <f t="shared" si="49"/>
        <v>-6.046743904789864</v>
      </c>
      <c r="IP29" s="30">
        <f>HP29*100/Italia!BR29</f>
        <v>15.176539984831887</v>
      </c>
      <c r="IQ29" s="30">
        <f>HR29*100/Italia!BT29</f>
        <v>20.602659157009413</v>
      </c>
      <c r="IR29" s="30">
        <f>HS29*100/Italia!BU29</f>
        <v>20.879002473774662</v>
      </c>
    </row>
    <row r="30" spans="1:252" ht="12">
      <c r="A30" s="1" t="s">
        <v>27</v>
      </c>
      <c r="B30" s="20">
        <v>450</v>
      </c>
      <c r="C30" s="10">
        <v>284.4</v>
      </c>
      <c r="D30" s="11">
        <v>128000</v>
      </c>
      <c r="E30" s="11"/>
      <c r="F30" s="20">
        <v>0</v>
      </c>
      <c r="G30" s="10">
        <v>0</v>
      </c>
      <c r="H30" s="11">
        <v>0</v>
      </c>
      <c r="I30" s="23">
        <f t="shared" si="130"/>
        <v>-100</v>
      </c>
      <c r="J30" s="23">
        <f t="shared" si="130"/>
        <v>-100</v>
      </c>
      <c r="K30" s="23">
        <f t="shared" si="130"/>
        <v>-100</v>
      </c>
      <c r="L30" s="8"/>
      <c r="M30" s="20">
        <v>410</v>
      </c>
      <c r="N30" s="10">
        <v>295.8</v>
      </c>
      <c r="O30" s="11">
        <v>121300</v>
      </c>
      <c r="P30" s="23" t="e">
        <f t="shared" si="131"/>
        <v>#DIV/0!</v>
      </c>
      <c r="Q30" s="23" t="e">
        <f t="shared" si="131"/>
        <v>#DIV/0!</v>
      </c>
      <c r="R30" s="23" t="e">
        <f t="shared" si="131"/>
        <v>#DIV/0!</v>
      </c>
      <c r="S30" s="8"/>
      <c r="T30" s="20">
        <v>400</v>
      </c>
      <c r="U30" s="10">
        <f>V30/T30</f>
        <v>301.5</v>
      </c>
      <c r="V30" s="11">
        <v>120600</v>
      </c>
      <c r="W30" s="23">
        <f t="shared" si="132"/>
        <v>-2.439024390243901</v>
      </c>
      <c r="X30" s="23">
        <f t="shared" si="132"/>
        <v>1.9269776876267741</v>
      </c>
      <c r="Y30" s="23">
        <f t="shared" si="132"/>
        <v>-0.5770816158285186</v>
      </c>
      <c r="Z30" s="8"/>
      <c r="AA30" s="20">
        <v>610</v>
      </c>
      <c r="AB30" s="10">
        <v>268.8</v>
      </c>
      <c r="AC30" s="11">
        <v>164000</v>
      </c>
      <c r="AD30" s="23">
        <f t="shared" si="133"/>
        <v>52.5</v>
      </c>
      <c r="AE30" s="23">
        <f t="shared" si="133"/>
        <v>-10.8457711442786</v>
      </c>
      <c r="AF30" s="23">
        <f t="shared" si="133"/>
        <v>35.986733001658365</v>
      </c>
      <c r="AG30" s="8"/>
      <c r="AH30" s="20">
        <v>510</v>
      </c>
      <c r="AI30" s="10">
        <v>274.7</v>
      </c>
      <c r="AJ30" s="11">
        <v>140100</v>
      </c>
      <c r="AK30" s="23">
        <f t="shared" si="134"/>
        <v>-16.393442622950815</v>
      </c>
      <c r="AL30" s="23">
        <f t="shared" si="134"/>
        <v>2.1949404761904674</v>
      </c>
      <c r="AM30" s="23">
        <f t="shared" si="134"/>
        <v>-14.573170731707322</v>
      </c>
      <c r="AN30" s="8"/>
      <c r="AO30" s="20">
        <v>230</v>
      </c>
      <c r="AP30" s="10">
        <v>269.9</v>
      </c>
      <c r="AQ30" s="11">
        <v>62100</v>
      </c>
      <c r="AR30" s="23">
        <f t="shared" si="135"/>
        <v>-54.90196078431372</v>
      </c>
      <c r="AS30" s="23">
        <f t="shared" si="135"/>
        <v>-1.7473607571896679</v>
      </c>
      <c r="AT30" s="23">
        <f t="shared" si="135"/>
        <v>-55.6745182012848</v>
      </c>
      <c r="AU30" s="8"/>
      <c r="AV30" s="20">
        <v>200</v>
      </c>
      <c r="AW30" s="10">
        <v>352</v>
      </c>
      <c r="AX30" s="11">
        <v>70400</v>
      </c>
      <c r="AY30" s="23">
        <f t="shared" si="136"/>
        <v>-13.043478260869563</v>
      </c>
      <c r="AZ30" s="23">
        <f t="shared" si="136"/>
        <v>30.418673582808452</v>
      </c>
      <c r="BA30" s="23">
        <f t="shared" si="136"/>
        <v>13.36553945249598</v>
      </c>
      <c r="BB30" s="8"/>
      <c r="BC30" s="20">
        <v>160</v>
      </c>
      <c r="BD30" s="10">
        <v>272</v>
      </c>
      <c r="BE30" s="11">
        <v>43520</v>
      </c>
      <c r="BF30" s="23">
        <f t="shared" si="137"/>
        <v>-20</v>
      </c>
      <c r="BG30" s="23">
        <f t="shared" si="137"/>
        <v>-22.727272727272734</v>
      </c>
      <c r="BH30" s="23">
        <f t="shared" si="137"/>
        <v>-38.18181818181818</v>
      </c>
      <c r="BI30" s="8"/>
      <c r="BJ30" s="20">
        <v>80</v>
      </c>
      <c r="BK30" s="10">
        <v>290.5</v>
      </c>
      <c r="BL30" s="11">
        <v>23240</v>
      </c>
      <c r="BM30" s="23">
        <f t="shared" si="138"/>
        <v>-50</v>
      </c>
      <c r="BN30" s="23">
        <f t="shared" si="138"/>
        <v>6.80147058823529</v>
      </c>
      <c r="BO30" s="23">
        <f t="shared" si="138"/>
        <v>-46.599264705882355</v>
      </c>
      <c r="BP30" s="8"/>
      <c r="BQ30" s="20">
        <v>40</v>
      </c>
      <c r="BR30" s="10">
        <v>300</v>
      </c>
      <c r="BS30" s="11">
        <v>12000</v>
      </c>
      <c r="BT30" s="23">
        <f t="shared" si="139"/>
        <v>-50</v>
      </c>
      <c r="BU30" s="23">
        <f t="shared" si="139"/>
        <v>3.270223752151466</v>
      </c>
      <c r="BV30" s="23">
        <f t="shared" si="139"/>
        <v>-48.36488812392427</v>
      </c>
      <c r="BW30" s="8"/>
      <c r="BX30" s="20">
        <v>30</v>
      </c>
      <c r="BY30" s="10">
        <v>300</v>
      </c>
      <c r="BZ30" s="11">
        <v>9000</v>
      </c>
      <c r="CA30" s="23">
        <f t="shared" si="140"/>
        <v>-25</v>
      </c>
      <c r="CB30" s="23">
        <f t="shared" si="140"/>
        <v>0</v>
      </c>
      <c r="CC30" s="23">
        <f t="shared" si="140"/>
        <v>-25</v>
      </c>
      <c r="CD30" s="8"/>
      <c r="CE30" s="20">
        <v>26</v>
      </c>
      <c r="CF30" s="10">
        <v>288.5</v>
      </c>
      <c r="CG30" s="11">
        <v>7500</v>
      </c>
      <c r="CH30" s="23">
        <f t="shared" si="141"/>
        <v>-13.333333333333329</v>
      </c>
      <c r="CI30" s="23">
        <f t="shared" si="141"/>
        <v>-3.8333333333333286</v>
      </c>
      <c r="CJ30" s="23">
        <f t="shared" si="142"/>
        <v>-16.66666666666667</v>
      </c>
      <c r="CK30" s="8"/>
      <c r="CL30" s="20">
        <v>30</v>
      </c>
      <c r="CM30" s="10">
        <v>266.7</v>
      </c>
      <c r="CN30" s="11">
        <v>8000</v>
      </c>
      <c r="CO30" s="23">
        <f t="shared" si="143"/>
        <v>15.384615384615387</v>
      </c>
      <c r="CP30" s="23">
        <f t="shared" si="143"/>
        <v>-7.556325823223574</v>
      </c>
      <c r="CQ30" s="23">
        <f t="shared" si="143"/>
        <v>6.666666666666671</v>
      </c>
      <c r="CR30" s="8"/>
      <c r="CS30" s="20">
        <v>25</v>
      </c>
      <c r="CT30" s="10">
        <v>300</v>
      </c>
      <c r="CU30" s="11">
        <v>7400</v>
      </c>
      <c r="CV30" s="23">
        <f t="shared" si="144"/>
        <v>-16.66666666666667</v>
      </c>
      <c r="CW30" s="23">
        <f t="shared" si="144"/>
        <v>12.485939257592804</v>
      </c>
      <c r="CX30" s="23">
        <f t="shared" si="144"/>
        <v>-7.5</v>
      </c>
      <c r="CY30" s="8"/>
      <c r="CZ30" s="20">
        <v>0</v>
      </c>
      <c r="DA30" s="10">
        <v>0</v>
      </c>
      <c r="DB30" s="11">
        <v>0</v>
      </c>
      <c r="DC30" s="23">
        <f t="shared" si="145"/>
        <v>-100</v>
      </c>
      <c r="DD30" s="23">
        <f t="shared" si="145"/>
        <v>-100</v>
      </c>
      <c r="DE30" s="23">
        <f t="shared" si="145"/>
        <v>-100</v>
      </c>
      <c r="DF30" s="8"/>
      <c r="DG30" s="20" t="s">
        <v>1</v>
      </c>
      <c r="DH30" s="10" t="s">
        <v>1</v>
      </c>
      <c r="DI30" s="11" t="s">
        <v>1</v>
      </c>
      <c r="DJ30" s="23" t="e">
        <f t="shared" si="146"/>
        <v>#DIV/0!</v>
      </c>
      <c r="DK30" s="23" t="e">
        <f t="shared" si="146"/>
        <v>#DIV/0!</v>
      </c>
      <c r="DL30" s="23" t="e">
        <f t="shared" si="146"/>
        <v>#DIV/0!</v>
      </c>
      <c r="DM30" s="8"/>
      <c r="DN30" s="20" t="s">
        <v>1</v>
      </c>
      <c r="DO30" s="10" t="s">
        <v>1</v>
      </c>
      <c r="DP30" s="11" t="s">
        <v>1</v>
      </c>
      <c r="DQ30" s="23" t="e">
        <f t="shared" si="147"/>
        <v>#DIV/0!</v>
      </c>
      <c r="DR30" s="23" t="e">
        <f t="shared" si="147"/>
        <v>#DIV/0!</v>
      </c>
      <c r="DS30" s="23" t="e">
        <f t="shared" si="147"/>
        <v>#DIV/0!</v>
      </c>
      <c r="DT30" s="8"/>
      <c r="DU30" s="20"/>
      <c r="DV30" s="10"/>
      <c r="DW30" s="11"/>
      <c r="DX30" s="23" t="e">
        <f t="shared" si="148"/>
        <v>#DIV/0!</v>
      </c>
      <c r="DY30" s="23" t="e">
        <f t="shared" si="148"/>
        <v>#DIV/0!</v>
      </c>
      <c r="DZ30" s="23" t="e">
        <f t="shared" si="148"/>
        <v>#DIV/0!</v>
      </c>
      <c r="EA30" s="8"/>
      <c r="EB30" s="20"/>
      <c r="EC30" s="10"/>
      <c r="ED30" s="11"/>
      <c r="EE30" s="23" t="e">
        <f t="shared" si="149"/>
        <v>#DIV/0!</v>
      </c>
      <c r="EF30" s="23" t="e">
        <f t="shared" si="149"/>
        <v>#DIV/0!</v>
      </c>
      <c r="EG30" s="23" t="e">
        <f t="shared" si="149"/>
        <v>#DIV/0!</v>
      </c>
      <c r="EH30" s="8"/>
      <c r="EI30" s="20">
        <v>50</v>
      </c>
      <c r="EJ30" s="10">
        <v>250</v>
      </c>
      <c r="EK30" s="11">
        <v>12500</v>
      </c>
      <c r="EL30" s="23" t="e">
        <f t="shared" si="150"/>
        <v>#DIV/0!</v>
      </c>
      <c r="EM30" s="23" t="e">
        <f t="shared" si="150"/>
        <v>#DIV/0!</v>
      </c>
      <c r="EN30" s="23" t="e">
        <f t="shared" si="150"/>
        <v>#DIV/0!</v>
      </c>
      <c r="EO30" s="8"/>
      <c r="EP30" s="20"/>
      <c r="EQ30" s="10"/>
      <c r="ER30" s="11"/>
      <c r="ES30" s="23">
        <f t="shared" si="151"/>
        <v>-100</v>
      </c>
      <c r="ET30" s="23">
        <f t="shared" si="151"/>
        <v>-100</v>
      </c>
      <c r="EU30" s="23">
        <f t="shared" si="151"/>
        <v>-100</v>
      </c>
      <c r="EV30" s="8"/>
      <c r="EW30" s="20" t="s">
        <v>1</v>
      </c>
      <c r="EX30" s="10" t="s">
        <v>1</v>
      </c>
      <c r="EY30" s="10" t="s">
        <v>1</v>
      </c>
      <c r="EZ30" s="11" t="s">
        <v>1</v>
      </c>
      <c r="FA30" s="11" t="s">
        <v>1</v>
      </c>
      <c r="FB30" s="11" t="s">
        <v>1</v>
      </c>
      <c r="FC30" s="11" t="s">
        <v>1</v>
      </c>
      <c r="FD30" s="8"/>
      <c r="FE30" s="20" t="s">
        <v>1</v>
      </c>
      <c r="FF30" s="10" t="s">
        <v>1</v>
      </c>
      <c r="FG30" s="10" t="s">
        <v>1</v>
      </c>
      <c r="FH30" s="11" t="s">
        <v>1</v>
      </c>
      <c r="FI30" s="11" t="s">
        <v>1</v>
      </c>
      <c r="FJ30" s="11" t="s">
        <v>1</v>
      </c>
      <c r="FK30" s="11" t="s">
        <v>1</v>
      </c>
      <c r="FL30" s="11" t="s">
        <v>1</v>
      </c>
      <c r="FM30" s="11"/>
      <c r="FN30" s="11" t="s">
        <v>1</v>
      </c>
      <c r="FO30" s="11" t="s">
        <v>1</v>
      </c>
      <c r="FP30" s="11" t="s">
        <v>1</v>
      </c>
      <c r="FQ30" s="11" t="s">
        <v>1</v>
      </c>
      <c r="FR30" s="11" t="s">
        <v>1</v>
      </c>
      <c r="FS30" s="11" t="s">
        <v>1</v>
      </c>
      <c r="FT30" s="11" t="s">
        <v>1</v>
      </c>
      <c r="FU30" s="11" t="s">
        <v>1</v>
      </c>
      <c r="FV30" s="23"/>
      <c r="FW30" s="11" t="s">
        <v>1</v>
      </c>
      <c r="FX30" s="10" t="e">
        <f>FY30/FW30</f>
        <v>#DIV/0!</v>
      </c>
      <c r="FY30" s="11" t="s">
        <v>1</v>
      </c>
      <c r="FZ30" s="11" t="s">
        <v>1</v>
      </c>
      <c r="GA30" s="23" t="e">
        <f t="shared" si="155"/>
        <v>#DIV/0!</v>
      </c>
      <c r="GB30" s="23" t="e">
        <f t="shared" si="155"/>
        <v>#DIV/0!</v>
      </c>
      <c r="GC30" s="23" t="e">
        <f t="shared" si="155"/>
        <v>#DIV/0!</v>
      </c>
      <c r="GD30" s="23" t="e">
        <f t="shared" si="155"/>
        <v>#DIV/0!</v>
      </c>
      <c r="GE30" s="23"/>
      <c r="GF30" s="11" t="s">
        <v>1</v>
      </c>
      <c r="GG30" s="10" t="e">
        <f>GH30/GF30</f>
        <v>#DIV/0!</v>
      </c>
      <c r="GH30" s="11" t="s">
        <v>1</v>
      </c>
      <c r="GI30" s="11" t="s">
        <v>1</v>
      </c>
      <c r="GJ30" s="23" t="e">
        <f t="shared" si="55"/>
        <v>#DIV/0!</v>
      </c>
      <c r="GK30" s="23" t="e">
        <f t="shared" si="56"/>
        <v>#DIV/0!</v>
      </c>
      <c r="GL30" s="23" t="e">
        <f t="shared" si="57"/>
        <v>#DIV/0!</v>
      </c>
      <c r="GM30" s="23" t="e">
        <f t="shared" si="57"/>
        <v>#DIV/0!</v>
      </c>
      <c r="GN30" s="23"/>
      <c r="GO30" s="11" t="s">
        <v>1</v>
      </c>
      <c r="GP30" s="10" t="e">
        <f>GQ30/GO30</f>
        <v>#DIV/0!</v>
      </c>
      <c r="GQ30" s="11" t="s">
        <v>1</v>
      </c>
      <c r="GR30" s="11" t="s">
        <v>1</v>
      </c>
      <c r="GS30" s="23" t="e">
        <f t="shared" si="156"/>
        <v>#DIV/0!</v>
      </c>
      <c r="GT30" s="23" t="e">
        <f t="shared" si="58"/>
        <v>#DIV/0!</v>
      </c>
      <c r="GU30" s="23" t="e">
        <f t="shared" si="59"/>
        <v>#DIV/0!</v>
      </c>
      <c r="GV30" s="23" t="e">
        <f t="shared" si="60"/>
        <v>#DIV/0!</v>
      </c>
      <c r="GW30" s="23"/>
      <c r="GX30" s="11" t="s">
        <v>1</v>
      </c>
      <c r="GY30" s="10" t="e">
        <f>GZ30/GX30</f>
        <v>#DIV/0!</v>
      </c>
      <c r="GZ30" s="11" t="s">
        <v>1</v>
      </c>
      <c r="HA30" s="11" t="s">
        <v>1</v>
      </c>
      <c r="HB30" s="23" t="e">
        <f t="shared" si="157"/>
        <v>#DIV/0!</v>
      </c>
      <c r="HC30" s="23" t="e">
        <f>GY30*100/GP30-100</f>
        <v>#DIV/0!</v>
      </c>
      <c r="HD30" s="23" t="e">
        <f t="shared" si="62"/>
        <v>#DIV/0!</v>
      </c>
      <c r="HE30" s="23" t="e">
        <f t="shared" si="63"/>
        <v>#DIV/0!</v>
      </c>
      <c r="HF30" s="23"/>
      <c r="HG30" s="11" t="s">
        <v>1</v>
      </c>
      <c r="HH30" s="10" t="e">
        <f>HI30/HG30</f>
        <v>#DIV/0!</v>
      </c>
      <c r="HI30" s="11" t="s">
        <v>1</v>
      </c>
      <c r="HJ30" s="11" t="s">
        <v>1</v>
      </c>
      <c r="HK30" s="23" t="e">
        <f aca="true" t="shared" si="160" ref="HK30:HK35">HG30*100/GX30-100</f>
        <v>#DIV/0!</v>
      </c>
      <c r="HL30" s="23" t="e">
        <f>HH30*100/GY30-100</f>
        <v>#DIV/0!</v>
      </c>
      <c r="HM30" s="23" t="e">
        <f t="shared" si="105"/>
        <v>#DIV/0!</v>
      </c>
      <c r="HN30" s="23" t="e">
        <f t="shared" si="106"/>
        <v>#DIV/0!</v>
      </c>
      <c r="HO30" s="23"/>
      <c r="HP30" s="11" t="s">
        <v>1</v>
      </c>
      <c r="HQ30" s="10" t="e">
        <f>HR30/HP30</f>
        <v>#DIV/0!</v>
      </c>
      <c r="HR30" s="11" t="s">
        <v>1</v>
      </c>
      <c r="HS30" s="11" t="s">
        <v>1</v>
      </c>
      <c r="HT30" s="23" t="e">
        <f t="shared" si="158"/>
        <v>#DIV/0!</v>
      </c>
      <c r="HU30" s="23" t="e">
        <f>HQ30*100/HH30-100</f>
        <v>#DIV/0!</v>
      </c>
      <c r="HV30" s="23" t="e">
        <f t="shared" si="64"/>
        <v>#DIV/0!</v>
      </c>
      <c r="HW30" s="23" t="e">
        <f t="shared" si="65"/>
        <v>#DIV/0!</v>
      </c>
      <c r="HX30" s="23"/>
      <c r="HY30" s="11" t="s">
        <v>1</v>
      </c>
      <c r="HZ30" s="10" t="e">
        <f>IA30/HY30</f>
        <v>#DIV/0!</v>
      </c>
      <c r="IA30" s="11" t="s">
        <v>1</v>
      </c>
      <c r="IB30" s="11" t="s">
        <v>1</v>
      </c>
      <c r="IC30" s="23" t="e">
        <f t="shared" si="159"/>
        <v>#DIV/0!</v>
      </c>
      <c r="ID30" s="23" t="e">
        <f>HZ30*100/HQ30-100</f>
        <v>#DIV/0!</v>
      </c>
      <c r="IE30" s="23" t="e">
        <f t="shared" si="42"/>
        <v>#DIV/0!</v>
      </c>
      <c r="IF30" s="23" t="e">
        <f t="shared" si="43"/>
        <v>#DIV/0!</v>
      </c>
      <c r="IG30" s="23"/>
      <c r="IH30" s="1" t="s">
        <v>27</v>
      </c>
      <c r="II30" s="29">
        <f t="shared" si="44"/>
        <v>50</v>
      </c>
      <c r="IJ30" s="30" t="e">
        <f t="shared" si="45"/>
        <v>#DIV/0!</v>
      </c>
      <c r="IK30" s="29">
        <f t="shared" si="46"/>
        <v>12500</v>
      </c>
      <c r="IL30" s="25">
        <f t="shared" si="47"/>
        <v>-100</v>
      </c>
      <c r="IM30" s="25" t="e">
        <f t="shared" si="48"/>
        <v>#DIV/0!</v>
      </c>
      <c r="IN30" s="25">
        <f t="shared" si="49"/>
        <v>-100</v>
      </c>
      <c r="IP30" s="30">
        <f>HP30*100/Italia!BR30</f>
        <v>0</v>
      </c>
      <c r="IQ30" s="30">
        <f>HR30*100/Italia!BT30</f>
        <v>0</v>
      </c>
      <c r="IR30" s="30">
        <f>HS30*100/Italia!BU30</f>
        <v>0</v>
      </c>
    </row>
    <row r="31" spans="1:252" ht="12">
      <c r="A31" s="1" t="s">
        <v>28</v>
      </c>
      <c r="B31" s="20">
        <v>707</v>
      </c>
      <c r="C31" s="10">
        <v>81.9</v>
      </c>
      <c r="D31" s="11">
        <v>57900</v>
      </c>
      <c r="E31" s="9"/>
      <c r="F31" s="20">
        <v>883</v>
      </c>
      <c r="G31" s="10">
        <v>89.5</v>
      </c>
      <c r="H31" s="11">
        <v>78900</v>
      </c>
      <c r="I31" s="23">
        <f t="shared" si="130"/>
        <v>24.893917963224894</v>
      </c>
      <c r="J31" s="23">
        <f t="shared" si="130"/>
        <v>9.279609279609275</v>
      </c>
      <c r="K31" s="23">
        <f t="shared" si="130"/>
        <v>36.26943005181346</v>
      </c>
      <c r="L31" s="8"/>
      <c r="M31" s="20">
        <v>831</v>
      </c>
      <c r="N31" s="10">
        <v>98.9</v>
      </c>
      <c r="O31" s="11">
        <v>82100</v>
      </c>
      <c r="P31" s="23">
        <f t="shared" si="131"/>
        <v>-5.8890147225368</v>
      </c>
      <c r="Q31" s="23">
        <f t="shared" si="131"/>
        <v>10.50279329608938</v>
      </c>
      <c r="R31" s="23">
        <f t="shared" si="131"/>
        <v>4.055766793409376</v>
      </c>
      <c r="S31" s="8"/>
      <c r="T31" s="20">
        <v>714</v>
      </c>
      <c r="U31" s="10">
        <v>87.5</v>
      </c>
      <c r="V31" s="11">
        <v>62400</v>
      </c>
      <c r="W31" s="23">
        <f t="shared" si="132"/>
        <v>-14.079422382671481</v>
      </c>
      <c r="X31" s="23">
        <f t="shared" si="132"/>
        <v>-11.526794742163801</v>
      </c>
      <c r="Y31" s="23">
        <f t="shared" si="132"/>
        <v>-23.995127892813642</v>
      </c>
      <c r="Z31" s="8"/>
      <c r="AA31" s="20">
        <v>708</v>
      </c>
      <c r="AB31" s="10">
        <f>69885/AA31</f>
        <v>98.70762711864407</v>
      </c>
      <c r="AC31" s="11">
        <v>68500</v>
      </c>
      <c r="AD31" s="23">
        <f t="shared" si="133"/>
        <v>-0.8403361344537785</v>
      </c>
      <c r="AE31" s="23">
        <f t="shared" si="133"/>
        <v>12.808716707021787</v>
      </c>
      <c r="AF31" s="23">
        <f t="shared" si="133"/>
        <v>9.775641025641022</v>
      </c>
      <c r="AG31" s="8"/>
      <c r="AH31" s="20">
        <v>660</v>
      </c>
      <c r="AI31" s="10">
        <v>97.6</v>
      </c>
      <c r="AJ31" s="11">
        <v>64400</v>
      </c>
      <c r="AK31" s="23">
        <f t="shared" si="134"/>
        <v>-6.779661016949149</v>
      </c>
      <c r="AL31" s="23">
        <f t="shared" si="134"/>
        <v>-1.122129212277315</v>
      </c>
      <c r="AM31" s="23">
        <f t="shared" si="134"/>
        <v>-5.9854014598540175</v>
      </c>
      <c r="AN31" s="8"/>
      <c r="AO31" s="20">
        <v>663</v>
      </c>
      <c r="AP31" s="10">
        <v>100.9</v>
      </c>
      <c r="AQ31" s="11">
        <v>66700</v>
      </c>
      <c r="AR31" s="23">
        <f t="shared" si="135"/>
        <v>0.45454545454545325</v>
      </c>
      <c r="AS31" s="23">
        <f t="shared" si="135"/>
        <v>3.381147540983619</v>
      </c>
      <c r="AT31" s="23">
        <f t="shared" si="135"/>
        <v>3.5714285714285694</v>
      </c>
      <c r="AU31" s="8"/>
      <c r="AV31" s="20">
        <v>626</v>
      </c>
      <c r="AW31" s="10">
        <v>89.2</v>
      </c>
      <c r="AX31" s="11">
        <v>51995</v>
      </c>
      <c r="AY31" s="23">
        <f t="shared" si="136"/>
        <v>-5.580693815987928</v>
      </c>
      <c r="AZ31" s="23">
        <f t="shared" si="136"/>
        <v>-11.595639246779001</v>
      </c>
      <c r="BA31" s="23">
        <f t="shared" si="136"/>
        <v>-22.04647676161919</v>
      </c>
      <c r="BB31" s="8"/>
      <c r="BC31" s="20">
        <v>587</v>
      </c>
      <c r="BD31" s="10">
        <v>91.3</v>
      </c>
      <c r="BE31" s="11">
        <v>53585</v>
      </c>
      <c r="BF31" s="23">
        <f t="shared" si="137"/>
        <v>-6.230031948881788</v>
      </c>
      <c r="BG31" s="23">
        <f t="shared" si="137"/>
        <v>2.3542600896860932</v>
      </c>
      <c r="BH31" s="23">
        <f t="shared" si="137"/>
        <v>3.057986344840856</v>
      </c>
      <c r="BI31" s="8"/>
      <c r="BJ31" s="20">
        <v>694</v>
      </c>
      <c r="BK31" s="10">
        <v>96.9</v>
      </c>
      <c r="BL31" s="11">
        <v>67209</v>
      </c>
      <c r="BM31" s="23">
        <f t="shared" si="138"/>
        <v>18.22827938671209</v>
      </c>
      <c r="BN31" s="23">
        <f t="shared" si="138"/>
        <v>6.133625410733842</v>
      </c>
      <c r="BO31" s="23">
        <f t="shared" si="138"/>
        <v>25.425025660166085</v>
      </c>
      <c r="BP31" s="8"/>
      <c r="BQ31" s="20">
        <v>538</v>
      </c>
      <c r="BR31" s="10">
        <v>88</v>
      </c>
      <c r="BS31" s="11">
        <v>46792</v>
      </c>
      <c r="BT31" s="23">
        <f t="shared" si="139"/>
        <v>-22.47838616714698</v>
      </c>
      <c r="BU31" s="23">
        <f t="shared" si="139"/>
        <v>-9.18472652218783</v>
      </c>
      <c r="BV31" s="23">
        <f t="shared" si="139"/>
        <v>-30.378371944233663</v>
      </c>
      <c r="BW31" s="8"/>
      <c r="BX31" s="20">
        <v>427</v>
      </c>
      <c r="BY31" s="10">
        <v>93.5</v>
      </c>
      <c r="BZ31" s="11">
        <v>39902</v>
      </c>
      <c r="CA31" s="23">
        <f t="shared" si="140"/>
        <v>-20.631970260223042</v>
      </c>
      <c r="CB31" s="23">
        <f t="shared" si="140"/>
        <v>6.25</v>
      </c>
      <c r="CC31" s="23">
        <f t="shared" si="140"/>
        <v>-14.724739271670373</v>
      </c>
      <c r="CD31" s="8"/>
      <c r="CE31" s="20">
        <v>386</v>
      </c>
      <c r="CF31" s="10">
        <v>98.7</v>
      </c>
      <c r="CG31" s="11">
        <v>37339</v>
      </c>
      <c r="CH31" s="23">
        <f t="shared" si="141"/>
        <v>-9.601873536299763</v>
      </c>
      <c r="CI31" s="23">
        <f t="shared" si="141"/>
        <v>5.5614973262032095</v>
      </c>
      <c r="CJ31" s="23">
        <f t="shared" si="142"/>
        <v>-6.423236930479675</v>
      </c>
      <c r="CK31" s="8"/>
      <c r="CL31" s="20">
        <v>349</v>
      </c>
      <c r="CM31" s="10">
        <v>99.6</v>
      </c>
      <c r="CN31" s="11">
        <v>34759</v>
      </c>
      <c r="CO31" s="23">
        <f t="shared" si="143"/>
        <v>-9.585492227979273</v>
      </c>
      <c r="CP31" s="23">
        <f t="shared" si="143"/>
        <v>0.9118541033434582</v>
      </c>
      <c r="CQ31" s="23">
        <f t="shared" si="143"/>
        <v>-6.909665497201317</v>
      </c>
      <c r="CR31" s="8"/>
      <c r="CS31" s="20">
        <v>329</v>
      </c>
      <c r="CT31" s="10">
        <v>93.9</v>
      </c>
      <c r="CU31" s="11">
        <v>30886</v>
      </c>
      <c r="CV31" s="23">
        <f t="shared" si="144"/>
        <v>-5.730659025787972</v>
      </c>
      <c r="CW31" s="23">
        <f t="shared" si="144"/>
        <v>-5.722891566265048</v>
      </c>
      <c r="CX31" s="23">
        <f t="shared" si="144"/>
        <v>-11.142437929744816</v>
      </c>
      <c r="CY31" s="8"/>
      <c r="CZ31" s="20">
        <v>312</v>
      </c>
      <c r="DA31" s="10">
        <v>98.3</v>
      </c>
      <c r="DB31" s="11">
        <v>30656</v>
      </c>
      <c r="DC31" s="23">
        <f t="shared" si="145"/>
        <v>-5.167173252279639</v>
      </c>
      <c r="DD31" s="23">
        <f t="shared" si="145"/>
        <v>4.685835995740149</v>
      </c>
      <c r="DE31" s="23">
        <f t="shared" si="145"/>
        <v>-0.7446739623130156</v>
      </c>
      <c r="DF31" s="8"/>
      <c r="DG31" s="20">
        <v>264</v>
      </c>
      <c r="DH31" s="10">
        <f>DI31/DG31</f>
        <v>103.25</v>
      </c>
      <c r="DI31" s="11">
        <v>27258</v>
      </c>
      <c r="DJ31" s="23">
        <f t="shared" si="146"/>
        <v>-15.384615384615387</v>
      </c>
      <c r="DK31" s="23">
        <f t="shared" si="146"/>
        <v>5.035605289928796</v>
      </c>
      <c r="DL31" s="23">
        <f t="shared" si="146"/>
        <v>-11.08429018789144</v>
      </c>
      <c r="DM31" s="8"/>
      <c r="DN31" s="20">
        <v>234</v>
      </c>
      <c r="DO31" s="10">
        <v>107.2</v>
      </c>
      <c r="DP31" s="11">
        <v>21773</v>
      </c>
      <c r="DQ31" s="23">
        <f t="shared" si="147"/>
        <v>-11.36363636363636</v>
      </c>
      <c r="DR31" s="23">
        <f t="shared" si="147"/>
        <v>3.825665859564168</v>
      </c>
      <c r="DS31" s="23">
        <f t="shared" si="147"/>
        <v>-20.122532834397248</v>
      </c>
      <c r="DT31" s="8"/>
      <c r="DU31" s="20">
        <v>235</v>
      </c>
      <c r="DV31" s="10">
        <v>87.5</v>
      </c>
      <c r="DW31" s="11">
        <v>20498</v>
      </c>
      <c r="DX31" s="23">
        <f t="shared" si="148"/>
        <v>0.42735042735043294</v>
      </c>
      <c r="DY31" s="23">
        <f t="shared" si="148"/>
        <v>-18.376865671641795</v>
      </c>
      <c r="DZ31" s="23">
        <f t="shared" si="148"/>
        <v>-5.855876544343914</v>
      </c>
      <c r="EA31" s="8"/>
      <c r="EB31" s="20">
        <v>255</v>
      </c>
      <c r="EC31" s="10">
        <v>116.5</v>
      </c>
      <c r="ED31" s="11">
        <v>29720</v>
      </c>
      <c r="EE31" s="23">
        <f t="shared" si="149"/>
        <v>8.510638297872347</v>
      </c>
      <c r="EF31" s="23">
        <f t="shared" si="149"/>
        <v>33.14285714285714</v>
      </c>
      <c r="EG31" s="23">
        <f t="shared" si="149"/>
        <v>44.98975509805834</v>
      </c>
      <c r="EH31" s="8"/>
      <c r="EI31" s="20">
        <v>276</v>
      </c>
      <c r="EJ31" s="10">
        <v>110.3</v>
      </c>
      <c r="EK31" s="11">
        <v>30445</v>
      </c>
      <c r="EL31" s="23">
        <f t="shared" si="150"/>
        <v>8.235294117647058</v>
      </c>
      <c r="EM31" s="23">
        <f t="shared" si="150"/>
        <v>-5.321888412017174</v>
      </c>
      <c r="EN31" s="23">
        <f t="shared" si="150"/>
        <v>2.4394347240915266</v>
      </c>
      <c r="EO31" s="8"/>
      <c r="EP31" s="20">
        <v>281</v>
      </c>
      <c r="EQ31" s="10">
        <v>108.3</v>
      </c>
      <c r="ER31" s="11">
        <v>30440</v>
      </c>
      <c r="ES31" s="23">
        <f t="shared" si="151"/>
        <v>1.8115942028985472</v>
      </c>
      <c r="ET31" s="23">
        <f t="shared" si="151"/>
        <v>-1.8132366273798652</v>
      </c>
      <c r="EU31" s="23">
        <f t="shared" si="151"/>
        <v>-0.01642305797339816</v>
      </c>
      <c r="EV31" s="8"/>
      <c r="EW31" s="20">
        <v>414</v>
      </c>
      <c r="EX31" s="10">
        <f>EY31/EW31</f>
        <v>107.19082125603865</v>
      </c>
      <c r="EY31" s="11">
        <v>44377</v>
      </c>
      <c r="EZ31" s="11">
        <v>44377</v>
      </c>
      <c r="FA31" s="23">
        <f t="shared" si="152"/>
        <v>47.330960854092524</v>
      </c>
      <c r="FB31" s="23">
        <f t="shared" si="152"/>
        <v>-1.0241724320972736</v>
      </c>
      <c r="FC31" s="23">
        <f t="shared" si="153"/>
        <v>45.78515111695137</v>
      </c>
      <c r="FD31" s="8"/>
      <c r="FE31" s="20">
        <v>292</v>
      </c>
      <c r="FF31" s="10">
        <f>FG31/FE31</f>
        <v>103.62328767123287</v>
      </c>
      <c r="FG31" s="11">
        <v>30258</v>
      </c>
      <c r="FH31" s="11">
        <v>30258</v>
      </c>
      <c r="FI31" s="23">
        <f t="shared" si="154"/>
        <v>-29.46859903381643</v>
      </c>
      <c r="FJ31" s="23">
        <f t="shared" si="154"/>
        <v>-3.328208090023196</v>
      </c>
      <c r="FK31" s="23">
        <f t="shared" si="154"/>
        <v>-31.816030826779638</v>
      </c>
      <c r="FL31" s="23">
        <f>FH31*100/EZ31-100</f>
        <v>-31.816030826779638</v>
      </c>
      <c r="FM31" s="23"/>
      <c r="FN31" s="20">
        <v>316</v>
      </c>
      <c r="FO31" s="10">
        <f t="shared" si="51"/>
        <v>108.87025316455696</v>
      </c>
      <c r="FP31" s="11">
        <v>34403</v>
      </c>
      <c r="FQ31" s="11">
        <v>34403</v>
      </c>
      <c r="FR31" s="23">
        <f t="shared" si="52"/>
        <v>8.219178082191775</v>
      </c>
      <c r="FS31" s="23">
        <f t="shared" si="52"/>
        <v>5.063500310828985</v>
      </c>
      <c r="FT31" s="23">
        <f t="shared" si="53"/>
        <v>13.69885650076013</v>
      </c>
      <c r="FU31" s="23">
        <f t="shared" si="53"/>
        <v>13.69885650076013</v>
      </c>
      <c r="FV31" s="23"/>
      <c r="FW31" s="20">
        <v>316</v>
      </c>
      <c r="FX31" s="10">
        <f>FY31/FW31</f>
        <v>108.87025316455696</v>
      </c>
      <c r="FY31" s="20">
        <v>34403</v>
      </c>
      <c r="FZ31" s="20">
        <v>34403</v>
      </c>
      <c r="GA31" s="23">
        <f t="shared" si="155"/>
        <v>0</v>
      </c>
      <c r="GB31" s="23">
        <f t="shared" si="155"/>
        <v>0</v>
      </c>
      <c r="GC31" s="23">
        <f t="shared" si="155"/>
        <v>0</v>
      </c>
      <c r="GD31" s="23">
        <f t="shared" si="155"/>
        <v>0</v>
      </c>
      <c r="GE31" s="23"/>
      <c r="GF31" s="20">
        <v>531</v>
      </c>
      <c r="GG31" s="10">
        <f>GH31/GF31</f>
        <v>118.59133709981168</v>
      </c>
      <c r="GH31" s="20">
        <v>62972</v>
      </c>
      <c r="GI31" s="20">
        <v>62972</v>
      </c>
      <c r="GJ31" s="23">
        <f t="shared" si="55"/>
        <v>68.03797468354429</v>
      </c>
      <c r="GK31" s="23">
        <f t="shared" si="56"/>
        <v>8.929054220679859</v>
      </c>
      <c r="GL31" s="23">
        <f t="shared" si="57"/>
        <v>83.04217655437026</v>
      </c>
      <c r="GM31" s="23">
        <f t="shared" si="57"/>
        <v>83.04217655437026</v>
      </c>
      <c r="GN31" s="23"/>
      <c r="GO31" s="20">
        <v>572</v>
      </c>
      <c r="GP31" s="10">
        <f>GQ31/GO31</f>
        <v>119.20104895104895</v>
      </c>
      <c r="GQ31" s="20">
        <v>68183</v>
      </c>
      <c r="GR31" s="20">
        <v>68183</v>
      </c>
      <c r="GS31" s="23">
        <f t="shared" si="156"/>
        <v>7.72128060263654</v>
      </c>
      <c r="GT31" s="23">
        <f t="shared" si="58"/>
        <v>0.5141284904512844</v>
      </c>
      <c r="GU31" s="23">
        <f t="shared" si="59"/>
        <v>8.275106396493683</v>
      </c>
      <c r="GV31" s="23">
        <f t="shared" si="60"/>
        <v>8.275106396493683</v>
      </c>
      <c r="GW31" s="23"/>
      <c r="GX31" s="20">
        <v>586</v>
      </c>
      <c r="GY31" s="10">
        <f>GZ31/GX31</f>
        <v>107.23549488054607</v>
      </c>
      <c r="GZ31" s="20">
        <v>62840</v>
      </c>
      <c r="HA31" s="20">
        <v>62840</v>
      </c>
      <c r="HB31" s="23">
        <f t="shared" si="157"/>
        <v>2.4475524475524537</v>
      </c>
      <c r="HC31" s="23">
        <f>GY31*100/GP31-100</f>
        <v>-10.038128167325652</v>
      </c>
      <c r="HD31" s="23">
        <f t="shared" si="62"/>
        <v>-7.8362641714210355</v>
      </c>
      <c r="HE31" s="23">
        <f t="shared" si="63"/>
        <v>-7.8362641714210355</v>
      </c>
      <c r="HF31" s="23"/>
      <c r="HG31" s="20">
        <v>585</v>
      </c>
      <c r="HH31" s="10">
        <f>HI31/HG31</f>
        <v>118.55213675213675</v>
      </c>
      <c r="HI31" s="20">
        <v>69353</v>
      </c>
      <c r="HJ31" s="20">
        <v>69353</v>
      </c>
      <c r="HK31" s="23">
        <f t="shared" si="160"/>
        <v>-0.1706484641638184</v>
      </c>
      <c r="HL31" s="23">
        <f>HH31*100/GY31-100</f>
        <v>10.553074692476343</v>
      </c>
      <c r="HM31" s="23">
        <f t="shared" si="105"/>
        <v>10.364417568427754</v>
      </c>
      <c r="HN31" s="23">
        <f t="shared" si="106"/>
        <v>10.364417568427754</v>
      </c>
      <c r="HO31" s="23"/>
      <c r="HP31" s="20">
        <v>451</v>
      </c>
      <c r="HQ31" s="10">
        <f>HR31/HP31</f>
        <v>109.53658536585365</v>
      </c>
      <c r="HR31" s="20">
        <v>49401</v>
      </c>
      <c r="HS31" s="20">
        <v>49401</v>
      </c>
      <c r="HT31" s="23">
        <f t="shared" si="158"/>
        <v>-22.90598290598291</v>
      </c>
      <c r="HU31" s="23">
        <f>HQ31*100/HH31-100</f>
        <v>-7.604714375694783</v>
      </c>
      <c r="HV31" s="23">
        <f t="shared" si="64"/>
        <v>-28.76876270673222</v>
      </c>
      <c r="HW31" s="23">
        <f t="shared" si="65"/>
        <v>-28.76876270673222</v>
      </c>
      <c r="HX31" s="23"/>
      <c r="HY31" s="20">
        <v>464</v>
      </c>
      <c r="HZ31" s="10">
        <f>IA31/HY31</f>
        <v>95.9396551724138</v>
      </c>
      <c r="IA31" s="20">
        <v>44516</v>
      </c>
      <c r="IB31" s="20">
        <v>44516</v>
      </c>
      <c r="IC31" s="23">
        <f t="shared" si="159"/>
        <v>2.8824833702882415</v>
      </c>
      <c r="ID31" s="23">
        <f>HZ31*100/HQ31-100</f>
        <v>-12.413140457159528</v>
      </c>
      <c r="IE31" s="23">
        <f t="shared" si="42"/>
        <v>-9.888463796279424</v>
      </c>
      <c r="IF31" s="23">
        <f t="shared" si="43"/>
        <v>-9.888463796279424</v>
      </c>
      <c r="IG31" s="23"/>
      <c r="IH31" s="1" t="s">
        <v>28</v>
      </c>
      <c r="II31" s="29">
        <f t="shared" si="44"/>
        <v>416.9</v>
      </c>
      <c r="IJ31" s="30">
        <f t="shared" si="45"/>
        <v>111.07346329399289</v>
      </c>
      <c r="IK31" s="29">
        <f t="shared" si="46"/>
        <v>46767.4</v>
      </c>
      <c r="IL31" s="25">
        <f t="shared" si="47"/>
        <v>8.179419525065967</v>
      </c>
      <c r="IM31" s="25">
        <f t="shared" si="48"/>
        <v>-1.3836589609809522</v>
      </c>
      <c r="IN31" s="25">
        <f t="shared" si="49"/>
        <v>5.63127306628121</v>
      </c>
      <c r="IP31" s="30">
        <f>HP31*100/Italia!BR31</f>
        <v>14.816031537450723</v>
      </c>
      <c r="IQ31" s="30">
        <f>HR31*100/Italia!BT31</f>
        <v>17.815515773985545</v>
      </c>
      <c r="IR31" s="30">
        <f>HS31*100/Italia!BU31</f>
        <v>18.213760327988528</v>
      </c>
    </row>
    <row r="32" spans="1:252" ht="12">
      <c r="A32" s="1" t="s">
        <v>29</v>
      </c>
      <c r="B32" s="20">
        <v>1114</v>
      </c>
      <c r="C32" s="10">
        <v>42</v>
      </c>
      <c r="D32" s="11">
        <v>40700</v>
      </c>
      <c r="E32" s="9"/>
      <c r="F32" s="20">
        <v>1129</v>
      </c>
      <c r="G32" s="10">
        <v>46.6</v>
      </c>
      <c r="H32" s="11">
        <v>46100</v>
      </c>
      <c r="I32" s="23">
        <f t="shared" si="130"/>
        <v>1.3464991023339365</v>
      </c>
      <c r="J32" s="23">
        <f t="shared" si="130"/>
        <v>10.952380952380949</v>
      </c>
      <c r="K32" s="23">
        <f t="shared" si="130"/>
        <v>13.267813267813267</v>
      </c>
      <c r="L32" s="8"/>
      <c r="M32" s="20">
        <v>1134</v>
      </c>
      <c r="N32" s="10">
        <v>43.5</v>
      </c>
      <c r="O32" s="11">
        <v>46700</v>
      </c>
      <c r="P32" s="23">
        <f t="shared" si="131"/>
        <v>0.44286979627989354</v>
      </c>
      <c r="Q32" s="23">
        <f t="shared" si="131"/>
        <v>-6.652360515021456</v>
      </c>
      <c r="R32" s="23">
        <f t="shared" si="131"/>
        <v>1.3015184381778795</v>
      </c>
      <c r="S32" s="8"/>
      <c r="T32" s="20">
        <v>1212</v>
      </c>
      <c r="U32" s="10">
        <v>45.3</v>
      </c>
      <c r="V32" s="11">
        <v>47600</v>
      </c>
      <c r="W32" s="23">
        <f t="shared" si="132"/>
        <v>6.878306878306873</v>
      </c>
      <c r="X32" s="23">
        <f t="shared" si="132"/>
        <v>4.137931034482762</v>
      </c>
      <c r="Y32" s="23">
        <f t="shared" si="132"/>
        <v>1.9271948608136995</v>
      </c>
      <c r="Z32" s="8"/>
      <c r="AA32" s="20">
        <v>1246</v>
      </c>
      <c r="AB32" s="10">
        <f>AC32/1055</f>
        <v>48.43601895734597</v>
      </c>
      <c r="AC32" s="11">
        <v>51100</v>
      </c>
      <c r="AD32" s="23">
        <f t="shared" si="133"/>
        <v>2.805280528052805</v>
      </c>
      <c r="AE32" s="23">
        <f t="shared" si="133"/>
        <v>6.9227791552891205</v>
      </c>
      <c r="AF32" s="23">
        <f t="shared" si="133"/>
        <v>7.352941176470594</v>
      </c>
      <c r="AG32" s="8"/>
      <c r="AH32" s="20">
        <v>1189</v>
      </c>
      <c r="AI32" s="10">
        <f>AJ32/988</f>
        <v>49.2914979757085</v>
      </c>
      <c r="AJ32" s="11">
        <v>48700</v>
      </c>
      <c r="AK32" s="23">
        <f t="shared" si="134"/>
        <v>-4.574638844301759</v>
      </c>
      <c r="AL32" s="23">
        <f t="shared" si="134"/>
        <v>1.7662042355625545</v>
      </c>
      <c r="AM32" s="23">
        <f t="shared" si="134"/>
        <v>-4.696673189823869</v>
      </c>
      <c r="AN32" s="8"/>
      <c r="AO32" s="20">
        <v>1174</v>
      </c>
      <c r="AP32" s="10">
        <f>49451/997</f>
        <v>49.599799398194584</v>
      </c>
      <c r="AQ32" s="11">
        <v>46000</v>
      </c>
      <c r="AR32" s="23">
        <f t="shared" si="135"/>
        <v>-1.26156433978133</v>
      </c>
      <c r="AS32" s="23">
        <f t="shared" si="135"/>
        <v>0.6254657195405429</v>
      </c>
      <c r="AT32" s="23">
        <f t="shared" si="135"/>
        <v>-5.544147843942511</v>
      </c>
      <c r="AU32" s="8"/>
      <c r="AV32" s="20">
        <v>1154</v>
      </c>
      <c r="AW32" s="10">
        <f>57690/1003</f>
        <v>57.51744765702891</v>
      </c>
      <c r="AX32" s="11">
        <v>57642</v>
      </c>
      <c r="AY32" s="23">
        <f t="shared" si="136"/>
        <v>-1.7035775127768318</v>
      </c>
      <c r="AZ32" s="23">
        <f t="shared" si="136"/>
        <v>15.963065082723944</v>
      </c>
      <c r="BA32" s="23">
        <f t="shared" si="136"/>
        <v>25.30869565217391</v>
      </c>
      <c r="BB32" s="8"/>
      <c r="BC32" s="20">
        <v>1189</v>
      </c>
      <c r="BD32" s="10">
        <f>54010/1069</f>
        <v>50.523854069223574</v>
      </c>
      <c r="BE32" s="11">
        <v>53885</v>
      </c>
      <c r="BF32" s="23">
        <f t="shared" si="137"/>
        <v>3.0329289428076294</v>
      </c>
      <c r="BG32" s="23">
        <f t="shared" si="137"/>
        <v>-12.159081935463263</v>
      </c>
      <c r="BH32" s="23">
        <f t="shared" si="137"/>
        <v>-6.517816869643667</v>
      </c>
      <c r="BI32" s="8"/>
      <c r="BJ32" s="20">
        <v>1107</v>
      </c>
      <c r="BK32" s="10">
        <v>53.6</v>
      </c>
      <c r="BL32" s="11">
        <v>52499</v>
      </c>
      <c r="BM32" s="23">
        <f t="shared" si="138"/>
        <v>-6.896551724137936</v>
      </c>
      <c r="BN32" s="23">
        <f t="shared" si="138"/>
        <v>6.088502129235323</v>
      </c>
      <c r="BO32" s="23">
        <f t="shared" si="138"/>
        <v>-2.572144381553315</v>
      </c>
      <c r="BP32" s="8"/>
      <c r="BQ32" s="20">
        <v>1094</v>
      </c>
      <c r="BR32" s="10">
        <v>53.1</v>
      </c>
      <c r="BS32" s="11">
        <v>50099</v>
      </c>
      <c r="BT32" s="23">
        <f t="shared" si="139"/>
        <v>-1.1743450767841068</v>
      </c>
      <c r="BU32" s="23">
        <f t="shared" si="139"/>
        <v>-0.9328358208955194</v>
      </c>
      <c r="BV32" s="23">
        <f t="shared" si="139"/>
        <v>-4.57151564791711</v>
      </c>
      <c r="BW32" s="8"/>
      <c r="BX32" s="20">
        <v>1052</v>
      </c>
      <c r="BY32" s="10">
        <v>55.1</v>
      </c>
      <c r="BZ32" s="11">
        <v>50984</v>
      </c>
      <c r="CA32" s="23">
        <f t="shared" si="140"/>
        <v>-3.8391224862888436</v>
      </c>
      <c r="CB32" s="23">
        <f t="shared" si="140"/>
        <v>3.7664783427495223</v>
      </c>
      <c r="CC32" s="23">
        <f t="shared" si="140"/>
        <v>1.7665023253957202</v>
      </c>
      <c r="CD32" s="8"/>
      <c r="CE32" s="20">
        <v>1091</v>
      </c>
      <c r="CF32" s="10">
        <v>53.4</v>
      </c>
      <c r="CG32" s="11">
        <v>47542</v>
      </c>
      <c r="CH32" s="23">
        <f t="shared" si="141"/>
        <v>3.7072243346007667</v>
      </c>
      <c r="CI32" s="23">
        <f t="shared" si="141"/>
        <v>-3.0852994555353916</v>
      </c>
      <c r="CJ32" s="23">
        <f t="shared" si="142"/>
        <v>-6.751137611799777</v>
      </c>
      <c r="CK32" s="8"/>
      <c r="CL32" s="20">
        <v>1101</v>
      </c>
      <c r="CM32" s="10">
        <v>56.4</v>
      </c>
      <c r="CN32" s="11">
        <v>55455</v>
      </c>
      <c r="CO32" s="23">
        <f t="shared" si="143"/>
        <v>0.916590284142984</v>
      </c>
      <c r="CP32" s="23">
        <f t="shared" si="143"/>
        <v>5.617977528089895</v>
      </c>
      <c r="CQ32" s="23">
        <f t="shared" si="143"/>
        <v>16.644230364730134</v>
      </c>
      <c r="CR32" s="8"/>
      <c r="CS32" s="20">
        <v>1118</v>
      </c>
      <c r="CT32" s="10">
        <v>53.4</v>
      </c>
      <c r="CU32" s="11">
        <v>58837</v>
      </c>
      <c r="CV32" s="23">
        <f t="shared" si="144"/>
        <v>1.5440508628519467</v>
      </c>
      <c r="CW32" s="23">
        <f t="shared" si="144"/>
        <v>-5.319148936170208</v>
      </c>
      <c r="CX32" s="23">
        <f t="shared" si="144"/>
        <v>6.0986385357497</v>
      </c>
      <c r="CY32" s="8"/>
      <c r="CZ32" s="20">
        <v>1125</v>
      </c>
      <c r="DA32" s="10">
        <v>54.2</v>
      </c>
      <c r="DB32" s="11">
        <v>60972</v>
      </c>
      <c r="DC32" s="23">
        <f t="shared" si="145"/>
        <v>0.6261180679785383</v>
      </c>
      <c r="DD32" s="23">
        <f t="shared" si="145"/>
        <v>1.4981273408239701</v>
      </c>
      <c r="DE32" s="23">
        <f t="shared" si="145"/>
        <v>3.628669034791031</v>
      </c>
      <c r="DF32" s="8"/>
      <c r="DG32" s="20">
        <v>1030</v>
      </c>
      <c r="DH32" s="10">
        <v>58.6</v>
      </c>
      <c r="DI32" s="11">
        <v>60378</v>
      </c>
      <c r="DJ32" s="23">
        <f t="shared" si="146"/>
        <v>-8.444444444444443</v>
      </c>
      <c r="DK32" s="23">
        <f t="shared" si="146"/>
        <v>8.1180811808118</v>
      </c>
      <c r="DL32" s="23">
        <f t="shared" si="146"/>
        <v>-0.9742176736862831</v>
      </c>
      <c r="DM32" s="8"/>
      <c r="DN32" s="20">
        <v>1041</v>
      </c>
      <c r="DO32" s="10">
        <v>60</v>
      </c>
      <c r="DP32" s="11">
        <v>62448</v>
      </c>
      <c r="DQ32" s="23">
        <f t="shared" si="147"/>
        <v>1.067961165048544</v>
      </c>
      <c r="DR32" s="23">
        <f t="shared" si="147"/>
        <v>2.3890784982935145</v>
      </c>
      <c r="DS32" s="23">
        <f t="shared" si="147"/>
        <v>3.4284010732386037</v>
      </c>
      <c r="DT32" s="8"/>
      <c r="DU32" s="20">
        <v>1027</v>
      </c>
      <c r="DV32" s="10">
        <v>62.2</v>
      </c>
      <c r="DW32" s="11">
        <v>63241</v>
      </c>
      <c r="DX32" s="23">
        <f t="shared" si="148"/>
        <v>-1.3448607108549453</v>
      </c>
      <c r="DY32" s="23">
        <f t="shared" si="148"/>
        <v>3.6666666666666714</v>
      </c>
      <c r="DZ32" s="23">
        <f t="shared" si="148"/>
        <v>1.2698565206251544</v>
      </c>
      <c r="EA32" s="8"/>
      <c r="EB32" s="20">
        <v>991</v>
      </c>
      <c r="EC32" s="10">
        <v>60.9</v>
      </c>
      <c r="ED32" s="11">
        <v>60344</v>
      </c>
      <c r="EE32" s="23">
        <f t="shared" si="149"/>
        <v>-3.5053554040895847</v>
      </c>
      <c r="EF32" s="23">
        <f t="shared" si="149"/>
        <v>-2.0900321543408467</v>
      </c>
      <c r="EG32" s="23">
        <f t="shared" si="149"/>
        <v>-4.580888980250151</v>
      </c>
      <c r="EH32" s="8"/>
      <c r="EI32" s="20">
        <v>955</v>
      </c>
      <c r="EJ32" s="10">
        <v>62</v>
      </c>
      <c r="EK32" s="11">
        <v>59243</v>
      </c>
      <c r="EL32" s="23">
        <f t="shared" si="150"/>
        <v>-3.6326942482341025</v>
      </c>
      <c r="EM32" s="23">
        <f t="shared" si="150"/>
        <v>1.8062397372742254</v>
      </c>
      <c r="EN32" s="23">
        <f t="shared" si="150"/>
        <v>-1.8245393079676546</v>
      </c>
      <c r="EO32" s="8"/>
      <c r="EP32" s="20">
        <v>917</v>
      </c>
      <c r="EQ32" s="10">
        <v>58.2</v>
      </c>
      <c r="ER32" s="11">
        <v>53381</v>
      </c>
      <c r="ES32" s="23">
        <f t="shared" si="151"/>
        <v>-3.9790575916230324</v>
      </c>
      <c r="ET32" s="23">
        <f t="shared" si="151"/>
        <v>-6.1290322580645125</v>
      </c>
      <c r="EU32" s="23">
        <f t="shared" si="151"/>
        <v>-9.894839896696652</v>
      </c>
      <c r="EV32" s="8"/>
      <c r="EW32" s="20">
        <v>878</v>
      </c>
      <c r="EX32" s="10">
        <f>EY32/EW32</f>
        <v>64.20273348519362</v>
      </c>
      <c r="EY32" s="11">
        <v>56370</v>
      </c>
      <c r="EZ32" s="11">
        <v>56117</v>
      </c>
      <c r="FA32" s="23">
        <f t="shared" si="152"/>
        <v>-4.252998909487459</v>
      </c>
      <c r="FB32" s="23">
        <f t="shared" si="152"/>
        <v>10.313975060470128</v>
      </c>
      <c r="FC32" s="23">
        <f t="shared" si="153"/>
        <v>5.125419156628766</v>
      </c>
      <c r="FD32" s="8"/>
      <c r="FE32" s="20">
        <v>868</v>
      </c>
      <c r="FF32" s="10">
        <f>FG32/FE32</f>
        <v>62.73271889400922</v>
      </c>
      <c r="FG32" s="11">
        <v>54452</v>
      </c>
      <c r="FH32" s="11">
        <v>54165</v>
      </c>
      <c r="FI32" s="23">
        <f t="shared" si="154"/>
        <v>-1.1389521640091118</v>
      </c>
      <c r="FJ32" s="23">
        <f t="shared" si="154"/>
        <v>-2.2896448661697804</v>
      </c>
      <c r="FK32" s="23">
        <f t="shared" si="154"/>
        <v>-3.4025190704275303</v>
      </c>
      <c r="FL32" s="23">
        <f>FH32*100/EZ32-100</f>
        <v>-3.478446816472726</v>
      </c>
      <c r="FM32" s="23"/>
      <c r="FN32" s="20">
        <v>842</v>
      </c>
      <c r="FO32" s="10">
        <f t="shared" si="51"/>
        <v>60.212589073634206</v>
      </c>
      <c r="FP32" s="11">
        <v>50699</v>
      </c>
      <c r="FQ32" s="11">
        <v>49953</v>
      </c>
      <c r="FR32" s="23">
        <f t="shared" si="52"/>
        <v>-2.9953917050691246</v>
      </c>
      <c r="FS32" s="23">
        <f t="shared" si="52"/>
        <v>-4.017249474923801</v>
      </c>
      <c r="FT32" s="23">
        <f t="shared" si="53"/>
        <v>-6.892308822449124</v>
      </c>
      <c r="FU32" s="23">
        <f t="shared" si="53"/>
        <v>-7.776239268900582</v>
      </c>
      <c r="FV32" s="23"/>
      <c r="FW32" s="20">
        <v>832</v>
      </c>
      <c r="FX32" s="10">
        <f>FY32/FW32</f>
        <v>63.66466346153846</v>
      </c>
      <c r="FY32" s="20">
        <v>52969</v>
      </c>
      <c r="FZ32" s="20">
        <v>52607</v>
      </c>
      <c r="GA32" s="23">
        <f t="shared" si="155"/>
        <v>-1.1876484560570049</v>
      </c>
      <c r="GB32" s="23">
        <f t="shared" si="155"/>
        <v>5.7331439172673555</v>
      </c>
      <c r="GC32" s="23">
        <f t="shared" si="155"/>
        <v>4.477405865993418</v>
      </c>
      <c r="GD32" s="23">
        <f t="shared" si="155"/>
        <v>5.312994214561684</v>
      </c>
      <c r="GE32" s="23"/>
      <c r="GF32" s="20">
        <v>800</v>
      </c>
      <c r="GG32" s="10">
        <f>GH32/GF32</f>
        <v>65.91125</v>
      </c>
      <c r="GH32" s="20">
        <v>52729</v>
      </c>
      <c r="GI32" s="20">
        <v>52309</v>
      </c>
      <c r="GJ32" s="23">
        <f t="shared" si="55"/>
        <v>-3.8461538461538396</v>
      </c>
      <c r="GK32" s="23">
        <f t="shared" si="56"/>
        <v>3.528780985104504</v>
      </c>
      <c r="GL32" s="23">
        <f t="shared" si="57"/>
        <v>-0.45309520663029446</v>
      </c>
      <c r="GM32" s="23">
        <f t="shared" si="57"/>
        <v>-0.5664645389396838</v>
      </c>
      <c r="GN32" s="23"/>
      <c r="GO32" s="20">
        <v>703</v>
      </c>
      <c r="GP32" s="10">
        <f>GQ32/GO32</f>
        <v>63.90896159317212</v>
      </c>
      <c r="GQ32" s="20">
        <v>44928</v>
      </c>
      <c r="GR32" s="20">
        <v>44928</v>
      </c>
      <c r="GS32" s="23">
        <f t="shared" si="156"/>
        <v>-12.125</v>
      </c>
      <c r="GT32" s="23">
        <f t="shared" si="58"/>
        <v>-3.0378553082028787</v>
      </c>
      <c r="GU32" s="23">
        <f t="shared" si="59"/>
        <v>-14.794515352083295</v>
      </c>
      <c r="GV32" s="23">
        <f t="shared" si="60"/>
        <v>-14.11038253455429</v>
      </c>
      <c r="GW32" s="23"/>
      <c r="GX32" s="20">
        <v>682</v>
      </c>
      <c r="GY32" s="10">
        <f>GZ32/GX32</f>
        <v>57.21554252199414</v>
      </c>
      <c r="GZ32" s="20">
        <v>39021</v>
      </c>
      <c r="HA32" s="20">
        <v>39021</v>
      </c>
      <c r="HB32" s="23">
        <f t="shared" si="157"/>
        <v>-2.987197724039831</v>
      </c>
      <c r="HC32" s="23">
        <f>GY32*100/GP32-100</f>
        <v>-10.473365400280727</v>
      </c>
      <c r="HD32" s="23">
        <f t="shared" si="62"/>
        <v>-13.147702991452988</v>
      </c>
      <c r="HE32" s="23">
        <f t="shared" si="63"/>
        <v>-13.147702991452988</v>
      </c>
      <c r="HF32" s="23"/>
      <c r="HG32" s="20">
        <v>672</v>
      </c>
      <c r="HH32" s="10">
        <f>HI32/HG32</f>
        <v>69.32142857142857</v>
      </c>
      <c r="HI32" s="20">
        <v>46584</v>
      </c>
      <c r="HJ32" s="20">
        <v>46584</v>
      </c>
      <c r="HK32" s="23">
        <f t="shared" si="160"/>
        <v>-1.4662756598240492</v>
      </c>
      <c r="HL32" s="23">
        <f>HH32*100/GY32-100</f>
        <v>21.158387242034493</v>
      </c>
      <c r="HM32" s="23">
        <f t="shared" si="105"/>
        <v>19.381871300069193</v>
      </c>
      <c r="HN32" s="23">
        <f t="shared" si="106"/>
        <v>19.381871300069193</v>
      </c>
      <c r="HO32" s="23"/>
      <c r="HP32" s="20">
        <v>676</v>
      </c>
      <c r="HQ32" s="10">
        <f>HR32/HP32</f>
        <v>60.80177514792899</v>
      </c>
      <c r="HR32" s="20">
        <v>41102</v>
      </c>
      <c r="HS32" s="20">
        <v>41102</v>
      </c>
      <c r="HT32" s="23">
        <f t="shared" si="158"/>
        <v>0.595238095238102</v>
      </c>
      <c r="HU32" s="23">
        <f>HQ32*100/HH32-100</f>
        <v>-12.290071914373428</v>
      </c>
      <c r="HV32" s="23">
        <f t="shared" si="64"/>
        <v>-11.76798900910184</v>
      </c>
      <c r="HW32" s="23">
        <f t="shared" si="65"/>
        <v>-11.76798900910184</v>
      </c>
      <c r="HX32" s="23"/>
      <c r="HY32" s="20">
        <v>686</v>
      </c>
      <c r="HZ32" s="10">
        <f>IA32/HY32</f>
        <v>65.07288629737609</v>
      </c>
      <c r="IA32" s="20">
        <v>44640</v>
      </c>
      <c r="IB32" s="20">
        <v>44640</v>
      </c>
      <c r="IC32" s="23">
        <f t="shared" si="159"/>
        <v>1.4792899408284086</v>
      </c>
      <c r="ID32" s="23">
        <f>HZ32*100/HQ32-100</f>
        <v>7.024648768980185</v>
      </c>
      <c r="IE32" s="23">
        <f t="shared" si="42"/>
        <v>8.60785363242664</v>
      </c>
      <c r="IF32" s="23">
        <f t="shared" si="43"/>
        <v>8.60785363242664</v>
      </c>
      <c r="IG32" s="23"/>
      <c r="IH32" s="1" t="s">
        <v>29</v>
      </c>
      <c r="II32" s="29">
        <f t="shared" si="44"/>
        <v>814.9</v>
      </c>
      <c r="IJ32" s="30">
        <f t="shared" si="45"/>
        <v>62.73698876009703</v>
      </c>
      <c r="IK32" s="29">
        <f t="shared" si="46"/>
        <v>50830.8</v>
      </c>
      <c r="IL32" s="25">
        <f t="shared" si="47"/>
        <v>-17.045036200760833</v>
      </c>
      <c r="IM32" s="25">
        <f t="shared" si="48"/>
        <v>-3.0846453590053358</v>
      </c>
      <c r="IN32" s="25">
        <f t="shared" si="49"/>
        <v>-19.139576792023732</v>
      </c>
      <c r="IP32" s="30">
        <f>HP32*100/Italia!BR32</f>
        <v>12.895841281953453</v>
      </c>
      <c r="IQ32" s="30">
        <f>HR32*100/Italia!BT32</f>
        <v>12.51625358949295</v>
      </c>
      <c r="IR32" s="30">
        <f>HS32*100/Italia!BU32</f>
        <v>12.893774272682213</v>
      </c>
    </row>
    <row r="33" spans="1:252" ht="12">
      <c r="A33" s="1" t="s">
        <v>30</v>
      </c>
      <c r="B33" s="20">
        <v>6</v>
      </c>
      <c r="C33" s="10">
        <v>120</v>
      </c>
      <c r="D33" s="11">
        <v>720</v>
      </c>
      <c r="E33" s="9"/>
      <c r="F33" s="20">
        <v>7.5</v>
      </c>
      <c r="G33" s="10">
        <v>106</v>
      </c>
      <c r="H33" s="11">
        <v>795</v>
      </c>
      <c r="I33" s="23">
        <f t="shared" si="130"/>
        <v>25</v>
      </c>
      <c r="J33" s="23">
        <f t="shared" si="130"/>
        <v>-11.666666666666671</v>
      </c>
      <c r="K33" s="23">
        <f t="shared" si="130"/>
        <v>10.416666666666671</v>
      </c>
      <c r="L33" s="8"/>
      <c r="M33" s="20">
        <v>8</v>
      </c>
      <c r="N33" s="10">
        <f>O33/M33</f>
        <v>123.125</v>
      </c>
      <c r="O33" s="11">
        <v>985</v>
      </c>
      <c r="P33" s="23">
        <f t="shared" si="131"/>
        <v>6.666666666666671</v>
      </c>
      <c r="Q33" s="23">
        <f t="shared" si="131"/>
        <v>16.155660377358487</v>
      </c>
      <c r="R33" s="23">
        <f t="shared" si="131"/>
        <v>23.899371069182394</v>
      </c>
      <c r="S33" s="8"/>
      <c r="T33" s="20">
        <v>43.5</v>
      </c>
      <c r="U33" s="10">
        <v>60.9</v>
      </c>
      <c r="V33" s="11">
        <v>2550</v>
      </c>
      <c r="W33" s="23">
        <f t="shared" si="132"/>
        <v>443.75</v>
      </c>
      <c r="X33" s="23">
        <f t="shared" si="132"/>
        <v>-50.53807106598985</v>
      </c>
      <c r="Y33" s="23">
        <f t="shared" si="132"/>
        <v>158.88324873096445</v>
      </c>
      <c r="Z33" s="8"/>
      <c r="AA33" s="20">
        <v>46.5</v>
      </c>
      <c r="AB33" s="10">
        <f>AC33/AA33</f>
        <v>80.64516129032258</v>
      </c>
      <c r="AC33" s="11">
        <v>3750</v>
      </c>
      <c r="AD33" s="23">
        <f t="shared" si="133"/>
        <v>6.896551724137936</v>
      </c>
      <c r="AE33" s="23">
        <f t="shared" si="133"/>
        <v>32.42226812860849</v>
      </c>
      <c r="AF33" s="23">
        <f t="shared" si="133"/>
        <v>47.05882352941177</v>
      </c>
      <c r="AG33" s="8"/>
      <c r="AH33" s="20">
        <v>2.95</v>
      </c>
      <c r="AI33" s="10">
        <v>81.7</v>
      </c>
      <c r="AJ33" s="11">
        <v>240</v>
      </c>
      <c r="AK33" s="23">
        <f t="shared" si="134"/>
        <v>-93.65591397849462</v>
      </c>
      <c r="AL33" s="23">
        <f t="shared" si="134"/>
        <v>1.308000000000007</v>
      </c>
      <c r="AM33" s="23">
        <f t="shared" si="134"/>
        <v>-93.6</v>
      </c>
      <c r="AN33" s="8"/>
      <c r="AO33" s="20">
        <v>2.75</v>
      </c>
      <c r="AP33" s="10">
        <v>89.4</v>
      </c>
      <c r="AQ33" s="11">
        <v>245</v>
      </c>
      <c r="AR33" s="23">
        <f t="shared" si="135"/>
        <v>-6.779661016949163</v>
      </c>
      <c r="AS33" s="23">
        <f t="shared" si="135"/>
        <v>9.424724602203185</v>
      </c>
      <c r="AT33" s="23">
        <f t="shared" si="135"/>
        <v>2.0833333333333286</v>
      </c>
      <c r="AU33" s="8"/>
      <c r="AV33" s="20">
        <v>16.15</v>
      </c>
      <c r="AW33" s="10">
        <f>AX33/AV33</f>
        <v>102.1671826625387</v>
      </c>
      <c r="AX33" s="11">
        <v>1650</v>
      </c>
      <c r="AY33" s="23">
        <f t="shared" si="136"/>
        <v>487.27272727272714</v>
      </c>
      <c r="AZ33" s="23">
        <f t="shared" si="136"/>
        <v>14.280964946911297</v>
      </c>
      <c r="BA33" s="23">
        <f t="shared" si="136"/>
        <v>573.469387755102</v>
      </c>
      <c r="BB33" s="8"/>
      <c r="BC33" s="20">
        <v>15.95</v>
      </c>
      <c r="BD33" s="10">
        <f>BE33/BC33</f>
        <v>103.69905956112854</v>
      </c>
      <c r="BE33" s="11">
        <v>1654</v>
      </c>
      <c r="BF33" s="23">
        <f t="shared" si="137"/>
        <v>-1.2383900928792428</v>
      </c>
      <c r="BG33" s="23">
        <f t="shared" si="137"/>
        <v>1.4993825401349028</v>
      </c>
      <c r="BH33" s="23">
        <f t="shared" si="137"/>
        <v>0.24242424242424931</v>
      </c>
      <c r="BI33" s="8"/>
      <c r="BJ33" s="20">
        <v>14.2</v>
      </c>
      <c r="BK33" s="10">
        <f>BL33/BJ33</f>
        <v>79.5774647887324</v>
      </c>
      <c r="BL33" s="11">
        <v>1130</v>
      </c>
      <c r="BM33" s="23">
        <f t="shared" si="138"/>
        <v>-10.971786833855802</v>
      </c>
      <c r="BN33" s="23">
        <f t="shared" si="138"/>
        <v>-23.26115094436024</v>
      </c>
      <c r="BO33" s="23">
        <f t="shared" si="138"/>
        <v>-31.68077388149939</v>
      </c>
      <c r="BP33" s="8"/>
      <c r="BQ33" s="20">
        <v>13.7</v>
      </c>
      <c r="BR33" s="10">
        <f>BS33/BQ33</f>
        <v>79.56204379562044</v>
      </c>
      <c r="BS33" s="11">
        <v>1090</v>
      </c>
      <c r="BT33" s="23">
        <f t="shared" si="139"/>
        <v>-3.5211267605633765</v>
      </c>
      <c r="BU33" s="23">
        <f t="shared" si="139"/>
        <v>-0.019378593114140585</v>
      </c>
      <c r="BV33" s="23">
        <f t="shared" si="139"/>
        <v>-3.5398230088495524</v>
      </c>
      <c r="BW33" s="8"/>
      <c r="BX33" s="20">
        <v>11.6</v>
      </c>
      <c r="BY33" s="10">
        <v>74.8</v>
      </c>
      <c r="BZ33" s="11">
        <v>868</v>
      </c>
      <c r="CA33" s="23">
        <f t="shared" si="140"/>
        <v>-15.328467153284663</v>
      </c>
      <c r="CB33" s="23">
        <f t="shared" si="140"/>
        <v>-5.985321100917432</v>
      </c>
      <c r="CC33" s="23">
        <f t="shared" si="140"/>
        <v>-20.366972477064223</v>
      </c>
      <c r="CD33" s="8"/>
      <c r="CE33" s="20">
        <v>11.6</v>
      </c>
      <c r="CF33" s="10">
        <f>CG33/CE33</f>
        <v>69.82758620689656</v>
      </c>
      <c r="CG33" s="11">
        <v>810</v>
      </c>
      <c r="CH33" s="23">
        <f t="shared" si="141"/>
        <v>0</v>
      </c>
      <c r="CI33" s="23">
        <f t="shared" si="141"/>
        <v>-6.647612022865559</v>
      </c>
      <c r="CJ33" s="23">
        <f t="shared" si="142"/>
        <v>-6.68202764976958</v>
      </c>
      <c r="CK33" s="8"/>
      <c r="CL33" s="20">
        <v>12.1</v>
      </c>
      <c r="CM33" s="10">
        <v>70</v>
      </c>
      <c r="CN33" s="11">
        <v>845</v>
      </c>
      <c r="CO33" s="23">
        <f t="shared" si="143"/>
        <v>4.310344827586206</v>
      </c>
      <c r="CP33" s="23">
        <f t="shared" si="143"/>
        <v>0.24691358024691112</v>
      </c>
      <c r="CQ33" s="23">
        <f t="shared" si="143"/>
        <v>4.320987654320987</v>
      </c>
      <c r="CR33" s="8"/>
      <c r="CS33" s="20">
        <v>11.1</v>
      </c>
      <c r="CT33" s="10">
        <f>CU33/CS33</f>
        <v>69.81981981981983</v>
      </c>
      <c r="CU33" s="11">
        <v>775</v>
      </c>
      <c r="CV33" s="23">
        <f t="shared" si="144"/>
        <v>-8.264462809917347</v>
      </c>
      <c r="CW33" s="23">
        <f t="shared" si="144"/>
        <v>-0.2574002574002492</v>
      </c>
      <c r="CX33" s="23">
        <f t="shared" si="144"/>
        <v>-8.284023668639051</v>
      </c>
      <c r="CY33" s="8"/>
      <c r="CZ33" s="20">
        <v>11.5</v>
      </c>
      <c r="DA33" s="10">
        <f>DB33/CZ33</f>
        <v>70</v>
      </c>
      <c r="DB33" s="11">
        <v>805</v>
      </c>
      <c r="DC33" s="23">
        <f t="shared" si="145"/>
        <v>3.6036036036036023</v>
      </c>
      <c r="DD33" s="23">
        <f t="shared" si="145"/>
        <v>0.2580645161290249</v>
      </c>
      <c r="DE33" s="23">
        <f t="shared" si="145"/>
        <v>3.8709677419354875</v>
      </c>
      <c r="DF33" s="8"/>
      <c r="DG33" s="20">
        <v>11.8</v>
      </c>
      <c r="DH33" s="10">
        <f>DI33/DG33</f>
        <v>70</v>
      </c>
      <c r="DI33" s="11">
        <v>826</v>
      </c>
      <c r="DJ33" s="23">
        <f t="shared" si="146"/>
        <v>2.608695652173907</v>
      </c>
      <c r="DK33" s="23">
        <f t="shared" si="146"/>
        <v>0</v>
      </c>
      <c r="DL33" s="23">
        <f t="shared" si="146"/>
        <v>2.608695652173907</v>
      </c>
      <c r="DM33" s="8"/>
      <c r="DN33" s="20">
        <v>12</v>
      </c>
      <c r="DO33" s="10">
        <f>DP33/DN33</f>
        <v>70</v>
      </c>
      <c r="DP33" s="11">
        <v>840</v>
      </c>
      <c r="DQ33" s="23">
        <f t="shared" si="147"/>
        <v>1.6949152542372872</v>
      </c>
      <c r="DR33" s="23">
        <f t="shared" si="147"/>
        <v>0</v>
      </c>
      <c r="DS33" s="23">
        <f t="shared" si="147"/>
        <v>1.6949152542372872</v>
      </c>
      <c r="DT33" s="8"/>
      <c r="DU33" s="20">
        <v>12</v>
      </c>
      <c r="DV33" s="10">
        <f>DW33/DU33</f>
        <v>70</v>
      </c>
      <c r="DW33" s="11">
        <v>840</v>
      </c>
      <c r="DX33" s="23">
        <f t="shared" si="148"/>
        <v>0</v>
      </c>
      <c r="DY33" s="23">
        <f t="shared" si="148"/>
        <v>0</v>
      </c>
      <c r="DZ33" s="23">
        <f t="shared" si="148"/>
        <v>0</v>
      </c>
      <c r="EA33" s="8"/>
      <c r="EB33" s="20">
        <v>12</v>
      </c>
      <c r="EC33" s="10">
        <f>ED33/EB33</f>
        <v>100</v>
      </c>
      <c r="ED33" s="11">
        <v>1200</v>
      </c>
      <c r="EE33" s="23">
        <f t="shared" si="149"/>
        <v>0</v>
      </c>
      <c r="EF33" s="23">
        <f t="shared" si="149"/>
        <v>42.85714285714286</v>
      </c>
      <c r="EG33" s="23">
        <f t="shared" si="149"/>
        <v>42.85714285714286</v>
      </c>
      <c r="EH33" s="8"/>
      <c r="EI33" s="20">
        <v>13</v>
      </c>
      <c r="EJ33" s="10">
        <f>EK33/EI33</f>
        <v>100</v>
      </c>
      <c r="EK33" s="11">
        <v>1300</v>
      </c>
      <c r="EL33" s="23">
        <f t="shared" si="150"/>
        <v>8.333333333333329</v>
      </c>
      <c r="EM33" s="23">
        <f t="shared" si="150"/>
        <v>0</v>
      </c>
      <c r="EN33" s="23">
        <f t="shared" si="150"/>
        <v>8.333333333333329</v>
      </c>
      <c r="EO33" s="8"/>
      <c r="EP33" s="20">
        <v>12.5</v>
      </c>
      <c r="EQ33" s="10">
        <f>ER33/EP33</f>
        <v>100</v>
      </c>
      <c r="ER33" s="11">
        <v>1250</v>
      </c>
      <c r="ES33" s="23">
        <f t="shared" si="151"/>
        <v>-3.8461538461538396</v>
      </c>
      <c r="ET33" s="23">
        <f t="shared" si="151"/>
        <v>0</v>
      </c>
      <c r="EU33" s="23">
        <f t="shared" si="151"/>
        <v>-3.8461538461538396</v>
      </c>
      <c r="EV33" s="8"/>
      <c r="EW33" s="22">
        <v>13</v>
      </c>
      <c r="EX33" s="10">
        <f>EY33/EW33</f>
        <v>100</v>
      </c>
      <c r="EY33" s="11">
        <v>1300</v>
      </c>
      <c r="EZ33" s="11">
        <v>1300</v>
      </c>
      <c r="FA33" s="23">
        <f t="shared" si="152"/>
        <v>4</v>
      </c>
      <c r="FB33" s="23">
        <f t="shared" si="152"/>
        <v>0</v>
      </c>
      <c r="FC33" s="23">
        <f t="shared" si="153"/>
        <v>4</v>
      </c>
      <c r="FD33" s="8"/>
      <c r="FE33" s="22">
        <v>13.2</v>
      </c>
      <c r="FF33" s="10">
        <f>FG33/FE33</f>
        <v>100</v>
      </c>
      <c r="FG33" s="11">
        <v>1320</v>
      </c>
      <c r="FH33" s="11">
        <v>1320</v>
      </c>
      <c r="FI33" s="23">
        <f t="shared" si="154"/>
        <v>1.538461538461533</v>
      </c>
      <c r="FJ33" s="23">
        <f t="shared" si="154"/>
        <v>0</v>
      </c>
      <c r="FK33" s="23">
        <f t="shared" si="154"/>
        <v>1.538461538461533</v>
      </c>
      <c r="FL33" s="23">
        <f>FH33*100/EZ33-100</f>
        <v>1.538461538461533</v>
      </c>
      <c r="FM33" s="23"/>
      <c r="FN33" s="20">
        <v>14</v>
      </c>
      <c r="FO33" s="10">
        <f t="shared" si="51"/>
        <v>100</v>
      </c>
      <c r="FP33" s="11">
        <v>1400</v>
      </c>
      <c r="FQ33" s="11">
        <v>1400</v>
      </c>
      <c r="FR33" s="23">
        <f t="shared" si="52"/>
        <v>6.060606060606062</v>
      </c>
      <c r="FS33" s="23">
        <f t="shared" si="52"/>
        <v>0</v>
      </c>
      <c r="FT33" s="23">
        <f t="shared" si="53"/>
        <v>6.060606060606062</v>
      </c>
      <c r="FU33" s="23">
        <f t="shared" si="53"/>
        <v>6.060606060606062</v>
      </c>
      <c r="FV33" s="23"/>
      <c r="FW33" s="22">
        <v>13</v>
      </c>
      <c r="FX33" s="10">
        <f>FY33/FW33</f>
        <v>100</v>
      </c>
      <c r="FY33" s="20">
        <v>1300</v>
      </c>
      <c r="FZ33" s="20">
        <v>1300</v>
      </c>
      <c r="GA33" s="23">
        <f t="shared" si="155"/>
        <v>-7.142857142857139</v>
      </c>
      <c r="GB33" s="23">
        <f t="shared" si="155"/>
        <v>0</v>
      </c>
      <c r="GC33" s="23">
        <f t="shared" si="155"/>
        <v>-7.142857142857139</v>
      </c>
      <c r="GD33" s="23">
        <f t="shared" si="155"/>
        <v>-7.142857142857139</v>
      </c>
      <c r="GE33" s="23"/>
      <c r="GF33" s="20">
        <v>0</v>
      </c>
      <c r="GG33" s="10" t="e">
        <f>GH33/GF33</f>
        <v>#DIV/0!</v>
      </c>
      <c r="GH33" s="20">
        <v>0</v>
      </c>
      <c r="GI33" s="20">
        <v>0</v>
      </c>
      <c r="GJ33" s="23">
        <f t="shared" si="55"/>
        <v>-100</v>
      </c>
      <c r="GK33" s="23" t="e">
        <f t="shared" si="56"/>
        <v>#DIV/0!</v>
      </c>
      <c r="GL33" s="23">
        <f t="shared" si="57"/>
        <v>-100</v>
      </c>
      <c r="GM33" s="23">
        <f t="shared" si="57"/>
        <v>-100</v>
      </c>
      <c r="GN33" s="23"/>
      <c r="GO33" s="20"/>
      <c r="GP33" s="10" t="e">
        <f>GQ33/GO33</f>
        <v>#DIV/0!</v>
      </c>
      <c r="GQ33" s="20"/>
      <c r="GR33" s="20"/>
      <c r="GS33" s="23" t="e">
        <f t="shared" si="156"/>
        <v>#DIV/0!</v>
      </c>
      <c r="GT33" s="23" t="e">
        <f t="shared" si="58"/>
        <v>#DIV/0!</v>
      </c>
      <c r="GU33" s="23" t="e">
        <f t="shared" si="59"/>
        <v>#DIV/0!</v>
      </c>
      <c r="GV33" s="23" t="e">
        <f t="shared" si="60"/>
        <v>#DIV/0!</v>
      </c>
      <c r="GW33" s="23"/>
      <c r="GX33" s="20">
        <v>0</v>
      </c>
      <c r="GY33" s="10" t="e">
        <f>GZ33/GX33</f>
        <v>#DIV/0!</v>
      </c>
      <c r="GZ33" s="20">
        <v>0</v>
      </c>
      <c r="HA33" s="20">
        <v>0</v>
      </c>
      <c r="HB33" s="23" t="e">
        <f t="shared" si="157"/>
        <v>#DIV/0!</v>
      </c>
      <c r="HC33" s="23" t="e">
        <f>GY33*100/GP33-100</f>
        <v>#DIV/0!</v>
      </c>
      <c r="HD33" s="23" t="e">
        <f t="shared" si="62"/>
        <v>#DIV/0!</v>
      </c>
      <c r="HE33" s="23" t="e">
        <f t="shared" si="63"/>
        <v>#DIV/0!</v>
      </c>
      <c r="HF33" s="23"/>
      <c r="HG33" s="22">
        <v>0.5</v>
      </c>
      <c r="HH33" s="10">
        <f>HI33/HG33</f>
        <v>80</v>
      </c>
      <c r="HI33" s="20">
        <v>40</v>
      </c>
      <c r="HJ33" s="20">
        <v>40</v>
      </c>
      <c r="HK33" s="23" t="e">
        <f t="shared" si="160"/>
        <v>#DIV/0!</v>
      </c>
      <c r="HL33" s="23" t="e">
        <f>HH33*100/GY33-100</f>
        <v>#DIV/0!</v>
      </c>
      <c r="HM33" s="23" t="e">
        <f t="shared" si="105"/>
        <v>#DIV/0!</v>
      </c>
      <c r="HN33" s="23" t="e">
        <f t="shared" si="106"/>
        <v>#DIV/0!</v>
      </c>
      <c r="HO33" s="23"/>
      <c r="HP33" s="20">
        <v>0.5</v>
      </c>
      <c r="HQ33" s="10">
        <f>HR33/HP33</f>
        <v>50</v>
      </c>
      <c r="HR33" s="20">
        <v>25</v>
      </c>
      <c r="HS33" s="20">
        <v>25</v>
      </c>
      <c r="HT33" s="23">
        <f t="shared" si="158"/>
        <v>0</v>
      </c>
      <c r="HU33" s="23">
        <f>HQ33*100/HH33-100</f>
        <v>-37.5</v>
      </c>
      <c r="HV33" s="23">
        <f t="shared" si="64"/>
        <v>-37.5</v>
      </c>
      <c r="HW33" s="23">
        <f t="shared" si="65"/>
        <v>-37.5</v>
      </c>
      <c r="HX33" s="23"/>
      <c r="HY33" s="20"/>
      <c r="HZ33" s="10" t="e">
        <f>IA33/HY33</f>
        <v>#DIV/0!</v>
      </c>
      <c r="IA33" s="20"/>
      <c r="IB33" s="20"/>
      <c r="IC33" s="23">
        <f t="shared" si="159"/>
        <v>-100</v>
      </c>
      <c r="ID33" s="23" t="e">
        <f>HZ33*100/HQ33-100</f>
        <v>#DIV/0!</v>
      </c>
      <c r="IE33" s="23">
        <f t="shared" si="42"/>
        <v>-100</v>
      </c>
      <c r="IF33" s="23">
        <f t="shared" si="43"/>
        <v>-100</v>
      </c>
      <c r="IG33" s="23"/>
      <c r="IH33" s="1" t="s">
        <v>30</v>
      </c>
      <c r="II33" s="29">
        <f t="shared" si="44"/>
        <v>8.8</v>
      </c>
      <c r="IJ33" s="30" t="e">
        <f t="shared" si="45"/>
        <v>#DIV/0!</v>
      </c>
      <c r="IK33" s="29">
        <f t="shared" si="46"/>
        <v>878.8888888888889</v>
      </c>
      <c r="IL33" s="25">
        <f t="shared" si="47"/>
        <v>-94.31818181818181</v>
      </c>
      <c r="IM33" s="25" t="e">
        <f t="shared" si="48"/>
        <v>#DIV/0!</v>
      </c>
      <c r="IN33" s="25">
        <f t="shared" si="49"/>
        <v>-97.15549936788875</v>
      </c>
      <c r="IP33" s="30">
        <f>HP33*100/Italia!BR33</f>
        <v>0.043273932648451224</v>
      </c>
      <c r="IQ33" s="30">
        <f>HR33*100/Italia!BT33</f>
        <v>0.019678221718459746</v>
      </c>
      <c r="IR33" s="30">
        <f>HS33*100/Italia!BU33</f>
        <v>0.020530002545720315</v>
      </c>
    </row>
    <row r="34" spans="1:252" ht="12">
      <c r="A34" s="1" t="s">
        <v>31</v>
      </c>
      <c r="B34" s="20">
        <f>B32+B33</f>
        <v>1120</v>
      </c>
      <c r="C34" s="10" t="s">
        <v>1</v>
      </c>
      <c r="D34" s="11">
        <f>D32+D33</f>
        <v>41420</v>
      </c>
      <c r="E34" s="9"/>
      <c r="F34" s="20">
        <f>F33+F32</f>
        <v>1136.5</v>
      </c>
      <c r="G34" s="10" t="s">
        <v>1</v>
      </c>
      <c r="H34" s="11">
        <f>H33+H32</f>
        <v>46895</v>
      </c>
      <c r="I34" s="23">
        <f>F34*100/B34-100</f>
        <v>1.4732142857142918</v>
      </c>
      <c r="J34" s="24" t="s">
        <v>1</v>
      </c>
      <c r="K34" s="23">
        <f>H34*100/D34-100</f>
        <v>13.218252052148713</v>
      </c>
      <c r="L34" s="8"/>
      <c r="M34" s="20">
        <f>M33+M32</f>
        <v>1142</v>
      </c>
      <c r="N34" s="10" t="s">
        <v>1</v>
      </c>
      <c r="O34" s="11">
        <f>O33+O32</f>
        <v>47685</v>
      </c>
      <c r="P34" s="23">
        <f>M34*100/F34-100</f>
        <v>0.48394192696876814</v>
      </c>
      <c r="Q34" s="24" t="s">
        <v>1</v>
      </c>
      <c r="R34" s="23">
        <f>O34*100/H34-100</f>
        <v>1.6846145644525023</v>
      </c>
      <c r="S34" s="8"/>
      <c r="T34" s="20">
        <f>T33+T32</f>
        <v>1255.5</v>
      </c>
      <c r="U34" s="10" t="s">
        <v>1</v>
      </c>
      <c r="V34" s="11">
        <f>V33+V32</f>
        <v>50150</v>
      </c>
      <c r="W34" s="23">
        <f aca="true" t="shared" si="161" ref="W34:W65">T34*100/M34-100</f>
        <v>9.938704028021021</v>
      </c>
      <c r="X34" s="24" t="s">
        <v>1</v>
      </c>
      <c r="Y34" s="23">
        <f aca="true" t="shared" si="162" ref="Y34:Y65">V34*100/O34-100</f>
        <v>5.169340463458113</v>
      </c>
      <c r="Z34" s="8"/>
      <c r="AA34" s="20">
        <f>AA33+AA32</f>
        <v>1292.5</v>
      </c>
      <c r="AB34" s="10" t="s">
        <v>1</v>
      </c>
      <c r="AC34" s="11">
        <f>AC33+AC32</f>
        <v>54850</v>
      </c>
      <c r="AD34" s="23">
        <f>AA34*100/T34-100</f>
        <v>2.947033054559938</v>
      </c>
      <c r="AE34" s="24" t="s">
        <v>1</v>
      </c>
      <c r="AF34" s="23">
        <f>AC34*100/V34-100</f>
        <v>9.37188434695912</v>
      </c>
      <c r="AG34" s="8"/>
      <c r="AH34" s="20">
        <f>AH33+AH32</f>
        <v>1191.95</v>
      </c>
      <c r="AI34" s="10" t="s">
        <v>1</v>
      </c>
      <c r="AJ34" s="11">
        <f>AJ33+AJ32</f>
        <v>48940</v>
      </c>
      <c r="AK34" s="23">
        <f>AH34*100/AA34-100</f>
        <v>-7.779497098646033</v>
      </c>
      <c r="AL34" s="24" t="s">
        <v>1</v>
      </c>
      <c r="AM34" s="23">
        <f>AJ34*100/AC34-100</f>
        <v>-10.774840474020053</v>
      </c>
      <c r="AN34" s="8"/>
      <c r="AO34" s="20">
        <f>AO33+AO32</f>
        <v>1176.75</v>
      </c>
      <c r="AP34" s="10" t="s">
        <v>1</v>
      </c>
      <c r="AQ34" s="11">
        <f>AQ33+AQ32</f>
        <v>46245</v>
      </c>
      <c r="AR34" s="23">
        <f>AO34*100/AH34-100</f>
        <v>-1.2752212760602362</v>
      </c>
      <c r="AS34" s="24" t="s">
        <v>1</v>
      </c>
      <c r="AT34" s="23">
        <f>AQ34*100/AJ34-100</f>
        <v>-5.506742950551697</v>
      </c>
      <c r="AU34" s="8"/>
      <c r="AV34" s="20">
        <f>AV33+AV32</f>
        <v>1170.15</v>
      </c>
      <c r="AW34" s="10" t="s">
        <v>1</v>
      </c>
      <c r="AX34" s="11">
        <f>AX33+AX32</f>
        <v>59292</v>
      </c>
      <c r="AY34" s="23">
        <f>AV34*100/AO34-100</f>
        <v>-0.5608667941363734</v>
      </c>
      <c r="AZ34" s="24" t="s">
        <v>1</v>
      </c>
      <c r="BA34" s="23">
        <f>AX34*100/AQ34-100</f>
        <v>28.21277975997404</v>
      </c>
      <c r="BB34" s="8"/>
      <c r="BC34" s="20">
        <f>BC33+BC32</f>
        <v>1204.95</v>
      </c>
      <c r="BD34" s="10" t="s">
        <v>1</v>
      </c>
      <c r="BE34" s="11">
        <f>BE33+BE32</f>
        <v>55539</v>
      </c>
      <c r="BF34" s="23">
        <f>BC34*100/AV34-100</f>
        <v>2.973977695167278</v>
      </c>
      <c r="BG34" s="24" t="s">
        <v>1</v>
      </c>
      <c r="BH34" s="23">
        <f>BE34*100/AX34-100</f>
        <v>-6.329690346083794</v>
      </c>
      <c r="BI34" s="8"/>
      <c r="BJ34" s="20">
        <f>BJ33+BJ32</f>
        <v>1121.2</v>
      </c>
      <c r="BK34" s="10" t="s">
        <v>1</v>
      </c>
      <c r="BL34" s="11">
        <f>BL33+BL32</f>
        <v>53629</v>
      </c>
      <c r="BM34" s="23">
        <f>BJ34*100/BC34-100</f>
        <v>-6.9504958711979725</v>
      </c>
      <c r="BN34" s="24" t="s">
        <v>1</v>
      </c>
      <c r="BO34" s="23">
        <f>BL34*100/BE34-100</f>
        <v>-3.439024829399159</v>
      </c>
      <c r="BP34" s="8"/>
      <c r="BQ34" s="20">
        <f>BQ33+BQ32</f>
        <v>1107.7</v>
      </c>
      <c r="BR34" s="10" t="s">
        <v>1</v>
      </c>
      <c r="BS34" s="11">
        <f>BS33+BS32</f>
        <v>51189</v>
      </c>
      <c r="BT34" s="23">
        <f>BQ34*100/BJ34-100</f>
        <v>-1.2040670709953645</v>
      </c>
      <c r="BU34" s="24" t="s">
        <v>1</v>
      </c>
      <c r="BV34" s="23">
        <f>BS34*100/BL34-100</f>
        <v>-4.549777172798301</v>
      </c>
      <c r="BW34" s="8"/>
      <c r="BX34" s="20">
        <f>BX33+BX32</f>
        <v>1063.6</v>
      </c>
      <c r="BY34" s="10" t="s">
        <v>1</v>
      </c>
      <c r="BZ34" s="11">
        <f>BZ33+BZ32</f>
        <v>51852</v>
      </c>
      <c r="CA34" s="23">
        <f>BX34*100/BQ34-100</f>
        <v>-3.9812223526225665</v>
      </c>
      <c r="CB34" s="24" t="s">
        <v>1</v>
      </c>
      <c r="CC34" s="23">
        <f>BZ34*100/BS34-100</f>
        <v>1.2952001406552256</v>
      </c>
      <c r="CD34" s="8"/>
      <c r="CE34" s="20">
        <f>CE33+CE32</f>
        <v>1102.6</v>
      </c>
      <c r="CF34" s="10" t="s">
        <v>1</v>
      </c>
      <c r="CG34" s="11">
        <f>CG33+CG32</f>
        <v>48352</v>
      </c>
      <c r="CH34" s="23">
        <f>CE34*100/BX34-100</f>
        <v>3.6667920270778467</v>
      </c>
      <c r="CI34" s="24" t="s">
        <v>1</v>
      </c>
      <c r="CJ34" s="23">
        <f t="shared" si="142"/>
        <v>-6.749980714340822</v>
      </c>
      <c r="CK34" s="8"/>
      <c r="CL34" s="20">
        <f>CL33+CL32</f>
        <v>1113.1</v>
      </c>
      <c r="CM34" s="10" t="s">
        <v>1</v>
      </c>
      <c r="CN34" s="11">
        <f>CN33+CN32</f>
        <v>56300</v>
      </c>
      <c r="CO34" s="23">
        <f>CL34*100/CE34-100</f>
        <v>0.9522945764556425</v>
      </c>
      <c r="CP34" s="24" t="s">
        <v>1</v>
      </c>
      <c r="CQ34" s="23">
        <f>CN34*100/CG34-100</f>
        <v>16.43778954334877</v>
      </c>
      <c r="CR34" s="8"/>
      <c r="CS34" s="20">
        <f>CS33+CS32</f>
        <v>1129.1</v>
      </c>
      <c r="CT34" s="10" t="s">
        <v>1</v>
      </c>
      <c r="CU34" s="11">
        <f>CU33+CU32</f>
        <v>59612</v>
      </c>
      <c r="CV34" s="23">
        <f>CS34*100/CL34-100</f>
        <v>1.4374270056598704</v>
      </c>
      <c r="CW34" s="24" t="s">
        <v>1</v>
      </c>
      <c r="CX34" s="23">
        <f>CU34*100/CN34-100</f>
        <v>5.882770870337481</v>
      </c>
      <c r="CY34" s="8"/>
      <c r="CZ34" s="20">
        <f>CZ33+CZ32</f>
        <v>1136.5</v>
      </c>
      <c r="DA34" s="10" t="s">
        <v>1</v>
      </c>
      <c r="DB34" s="11">
        <f>DB33+DB32</f>
        <v>61777</v>
      </c>
      <c r="DC34" s="23">
        <f>CZ34*100/CS34-100</f>
        <v>0.6553892480736891</v>
      </c>
      <c r="DD34" s="24" t="s">
        <v>1</v>
      </c>
      <c r="DE34" s="23">
        <f>DB34*100/CU34-100</f>
        <v>3.631819096826149</v>
      </c>
      <c r="DF34" s="8"/>
      <c r="DG34" s="20">
        <f>DG33+DG32</f>
        <v>1041.8</v>
      </c>
      <c r="DH34" s="10" t="s">
        <v>1</v>
      </c>
      <c r="DI34" s="11">
        <f>DI33+DI32</f>
        <v>61204</v>
      </c>
      <c r="DJ34" s="23">
        <f>DG34*100/CZ34-100</f>
        <v>-8.332600087989448</v>
      </c>
      <c r="DK34" s="24" t="s">
        <v>1</v>
      </c>
      <c r="DL34" s="23">
        <f>DI34*100/DB34-100</f>
        <v>-0.9275296631432468</v>
      </c>
      <c r="DM34" s="8"/>
      <c r="DN34" s="20">
        <f>DN33+DN32</f>
        <v>1053</v>
      </c>
      <c r="DO34" s="10" t="s">
        <v>1</v>
      </c>
      <c r="DP34" s="11">
        <f>DP33+DP32</f>
        <v>63288</v>
      </c>
      <c r="DQ34" s="23">
        <f>DN34*100/DG34-100</f>
        <v>1.0750623920138196</v>
      </c>
      <c r="DR34" s="24" t="s">
        <v>1</v>
      </c>
      <c r="DS34" s="23">
        <f>DP34*100/DI34-100</f>
        <v>3.405006208744524</v>
      </c>
      <c r="DT34" s="8"/>
      <c r="DU34" s="20">
        <f>DU33+DU32</f>
        <v>1039</v>
      </c>
      <c r="DV34" s="10" t="s">
        <v>1</v>
      </c>
      <c r="DW34" s="11">
        <f>DW33+DW32</f>
        <v>64081</v>
      </c>
      <c r="DX34" s="23">
        <f>DU34*100/DN34-100</f>
        <v>-1.3295346628679994</v>
      </c>
      <c r="DY34" s="24" t="s">
        <v>1</v>
      </c>
      <c r="DZ34" s="23">
        <f>DW34*100/DP34-100</f>
        <v>1.2530021489065888</v>
      </c>
      <c r="EA34" s="8"/>
      <c r="EB34" s="20">
        <f>EB33+EB32</f>
        <v>1003</v>
      </c>
      <c r="EC34" s="10" t="s">
        <v>1</v>
      </c>
      <c r="ED34" s="11">
        <f>ED33+ED32</f>
        <v>61544</v>
      </c>
      <c r="EE34" s="23">
        <f>EB34*100/DU34-100</f>
        <v>-3.4648700673724733</v>
      </c>
      <c r="EF34" s="24" t="s">
        <v>1</v>
      </c>
      <c r="EG34" s="23">
        <f>ED34*100/DW34-100</f>
        <v>-3.9590518250339386</v>
      </c>
      <c r="EH34" s="8"/>
      <c r="EI34" s="20">
        <f>EI33+EI32</f>
        <v>968</v>
      </c>
      <c r="EJ34" s="10" t="s">
        <v>1</v>
      </c>
      <c r="EK34" s="11">
        <f>EK33+EK32</f>
        <v>60543</v>
      </c>
      <c r="EL34" s="23">
        <f>EI34*100/EB34-100</f>
        <v>-3.4895314057826567</v>
      </c>
      <c r="EM34" s="24" t="s">
        <v>1</v>
      </c>
      <c r="EN34" s="23">
        <f>EK34*100/ED34-100</f>
        <v>-1.626478616924473</v>
      </c>
      <c r="EO34" s="8"/>
      <c r="EP34" s="20">
        <f>EP33+EP32</f>
        <v>929.5</v>
      </c>
      <c r="EQ34" s="10" t="s">
        <v>1</v>
      </c>
      <c r="ER34" s="11">
        <f>ER33+ER32</f>
        <v>54631</v>
      </c>
      <c r="ES34" s="23">
        <f>EP34*100/EI34-100</f>
        <v>-3.9772727272727337</v>
      </c>
      <c r="ET34" s="24" t="s">
        <v>1</v>
      </c>
      <c r="EU34" s="23">
        <f>ER34*100/EK34-100</f>
        <v>-9.764960441339213</v>
      </c>
      <c r="EV34" s="8"/>
      <c r="EW34" s="19">
        <f>EW33+EW32</f>
        <v>891</v>
      </c>
      <c r="EX34" s="10">
        <f>EY34/EW34</f>
        <v>64.72502805836139</v>
      </c>
      <c r="EY34" s="9">
        <f>EY33+EY32</f>
        <v>57670</v>
      </c>
      <c r="EZ34" s="9">
        <f>EZ33+EZ32</f>
        <v>57417</v>
      </c>
      <c r="FA34" s="23">
        <f>EW34*100/EP34-100</f>
        <v>-4.142011834319533</v>
      </c>
      <c r="FB34" s="24" t="s">
        <v>1</v>
      </c>
      <c r="FC34" s="23">
        <f t="shared" si="153"/>
        <v>5.0996686862770275</v>
      </c>
      <c r="FD34" s="8"/>
      <c r="FE34" s="19">
        <f>FE33+FE32</f>
        <v>881.2</v>
      </c>
      <c r="FF34" s="10">
        <f>FG34/FE34</f>
        <v>63.29096686336813</v>
      </c>
      <c r="FG34" s="9">
        <f>FG33+FG32</f>
        <v>55772</v>
      </c>
      <c r="FH34" s="9">
        <f>FH33+FH32</f>
        <v>55485</v>
      </c>
      <c r="FI34" s="23">
        <f t="shared" si="154"/>
        <v>-1.0998877665544313</v>
      </c>
      <c r="FJ34" s="23">
        <f t="shared" si="154"/>
        <v>-2.215620816263211</v>
      </c>
      <c r="FK34" s="23">
        <f t="shared" si="154"/>
        <v>-3.2911392405063253</v>
      </c>
      <c r="FL34" s="23">
        <f>FH34*100/EZ34-100</f>
        <v>-3.364857098071994</v>
      </c>
      <c r="FM34" s="23"/>
      <c r="FN34" s="19">
        <f>FN33+FN32</f>
        <v>856</v>
      </c>
      <c r="FO34" s="6" t="s">
        <v>1</v>
      </c>
      <c r="FP34" s="9">
        <f>FP33+FP32</f>
        <v>52099</v>
      </c>
      <c r="FQ34" s="9">
        <f>FQ33+FQ32</f>
        <v>51353</v>
      </c>
      <c r="FR34" s="23">
        <f t="shared" si="52"/>
        <v>-2.8597367226509363</v>
      </c>
      <c r="FS34" s="24" t="s">
        <v>1</v>
      </c>
      <c r="FT34" s="23">
        <f t="shared" si="53"/>
        <v>-6.585741949365271</v>
      </c>
      <c r="FU34" s="23">
        <f t="shared" si="53"/>
        <v>-7.447057763359467</v>
      </c>
      <c r="FV34" s="23"/>
      <c r="FW34" s="36">
        <f>FW33+FW32</f>
        <v>845</v>
      </c>
      <c r="FX34" s="6" t="s">
        <v>1</v>
      </c>
      <c r="FY34" s="19">
        <f>FY33+FY32</f>
        <v>54269</v>
      </c>
      <c r="FZ34" s="19">
        <f>FZ33+FZ32</f>
        <v>53907</v>
      </c>
      <c r="GA34" s="24" t="s">
        <v>1</v>
      </c>
      <c r="GB34" s="24" t="s">
        <v>1</v>
      </c>
      <c r="GC34" s="23">
        <f>FY34*100/FP34-100</f>
        <v>4.165147123745172</v>
      </c>
      <c r="GD34" s="23">
        <f>FZ34*100/FQ34-100</f>
        <v>4.973419274433823</v>
      </c>
      <c r="GE34" s="23"/>
      <c r="GF34" s="19">
        <f>GF33+GF32</f>
        <v>800</v>
      </c>
      <c r="GG34" s="6" t="s">
        <v>1</v>
      </c>
      <c r="GH34" s="19">
        <f>GH33+GH32</f>
        <v>52729</v>
      </c>
      <c r="GI34" s="19">
        <f>GI33+GI32</f>
        <v>52309</v>
      </c>
      <c r="GJ34" s="23">
        <f t="shared" si="55"/>
        <v>-5.325443786982248</v>
      </c>
      <c r="GK34" s="24" t="s">
        <v>1</v>
      </c>
      <c r="GL34" s="23">
        <f t="shared" si="57"/>
        <v>-2.8377158230297255</v>
      </c>
      <c r="GM34" s="23">
        <f t="shared" si="57"/>
        <v>-2.964364553768533</v>
      </c>
      <c r="GN34" s="23"/>
      <c r="GO34" s="19">
        <f>GO33+GO32</f>
        <v>703</v>
      </c>
      <c r="GP34" s="6" t="s">
        <v>1</v>
      </c>
      <c r="GQ34" s="19">
        <f>GQ33+GQ32</f>
        <v>44928</v>
      </c>
      <c r="GR34" s="19">
        <f>GR33+GR32</f>
        <v>44928</v>
      </c>
      <c r="GS34" s="23">
        <f t="shared" si="156"/>
        <v>-12.125</v>
      </c>
      <c r="GT34" s="24" t="s">
        <v>1</v>
      </c>
      <c r="GU34" s="23">
        <f t="shared" si="59"/>
        <v>-14.794515352083295</v>
      </c>
      <c r="GV34" s="23">
        <f t="shared" si="60"/>
        <v>-14.11038253455429</v>
      </c>
      <c r="GW34" s="23"/>
      <c r="GX34" s="19">
        <f>GX33+GX32</f>
        <v>682</v>
      </c>
      <c r="GY34" s="6" t="s">
        <v>1</v>
      </c>
      <c r="GZ34" s="19">
        <f>GZ33+GZ32</f>
        <v>39021</v>
      </c>
      <c r="HA34" s="19">
        <f>HA33+HA32</f>
        <v>39021</v>
      </c>
      <c r="HB34" s="23">
        <f t="shared" si="157"/>
        <v>-2.987197724039831</v>
      </c>
      <c r="HC34" s="24" t="s">
        <v>1</v>
      </c>
      <c r="HD34" s="23">
        <f t="shared" si="62"/>
        <v>-13.147702991452988</v>
      </c>
      <c r="HE34" s="23">
        <f t="shared" si="63"/>
        <v>-13.147702991452988</v>
      </c>
      <c r="HF34" s="23"/>
      <c r="HG34" s="19">
        <f>HG33+HG32</f>
        <v>672.5</v>
      </c>
      <c r="HH34" s="6" t="s">
        <v>1</v>
      </c>
      <c r="HI34" s="19">
        <f>HI33+HI32</f>
        <v>46624</v>
      </c>
      <c r="HJ34" s="19">
        <f>HJ33+HJ32</f>
        <v>46624</v>
      </c>
      <c r="HK34" s="23">
        <f t="shared" si="160"/>
        <v>-1.3929618768328424</v>
      </c>
      <c r="HL34" s="24" t="s">
        <v>1</v>
      </c>
      <c r="HM34" s="23">
        <f t="shared" si="105"/>
        <v>19.484380205530357</v>
      </c>
      <c r="HN34" s="23">
        <f t="shared" si="106"/>
        <v>19.484380205530357</v>
      </c>
      <c r="HO34" s="23"/>
      <c r="HP34" s="19">
        <f>HP33+HP32</f>
        <v>676.5</v>
      </c>
      <c r="HQ34" s="6" t="s">
        <v>1</v>
      </c>
      <c r="HR34" s="19">
        <f>HR33+HR32</f>
        <v>41127</v>
      </c>
      <c r="HS34" s="19">
        <f>HS33+HS32</f>
        <v>41127</v>
      </c>
      <c r="HT34" s="23">
        <f t="shared" si="158"/>
        <v>0.5947955390334556</v>
      </c>
      <c r="HU34" s="24" t="s">
        <v>1</v>
      </c>
      <c r="HV34" s="23">
        <f t="shared" si="64"/>
        <v>-11.790065202470828</v>
      </c>
      <c r="HW34" s="23">
        <f t="shared" si="65"/>
        <v>-11.790065202470828</v>
      </c>
      <c r="HX34" s="23"/>
      <c r="HY34" s="19">
        <f>HY33+HY32</f>
        <v>686</v>
      </c>
      <c r="HZ34" s="6" t="s">
        <v>1</v>
      </c>
      <c r="IA34" s="19">
        <f>IA33+IA32</f>
        <v>44640</v>
      </c>
      <c r="IB34" s="19">
        <f>IB33+IB32</f>
        <v>44640</v>
      </c>
      <c r="IC34" s="23">
        <f t="shared" si="159"/>
        <v>1.4042867701404305</v>
      </c>
      <c r="ID34" s="24" t="s">
        <v>1</v>
      </c>
      <c r="IE34" s="23">
        <f t="shared" si="42"/>
        <v>8.541833831789333</v>
      </c>
      <c r="IF34" s="23">
        <f t="shared" si="43"/>
        <v>8.541833831789333</v>
      </c>
      <c r="IG34" s="23"/>
      <c r="IH34" s="1" t="s">
        <v>31</v>
      </c>
      <c r="II34" s="29">
        <f t="shared" si="44"/>
        <v>822.82</v>
      </c>
      <c r="IJ34" s="30">
        <f t="shared" si="45"/>
        <v>64.00799746086476</v>
      </c>
      <c r="IK34" s="29">
        <f t="shared" si="46"/>
        <v>51621.8</v>
      </c>
      <c r="IL34" s="25">
        <f t="shared" si="47"/>
        <v>-17.782747137891647</v>
      </c>
      <c r="IM34" s="25">
        <f t="shared" si="48"/>
        <v>-100</v>
      </c>
      <c r="IN34" s="25">
        <f t="shared" si="49"/>
        <v>-20.3301705868451</v>
      </c>
      <c r="IP34" s="30">
        <f>HP34*100/Italia!BR34</f>
        <v>10.574558846286711</v>
      </c>
      <c r="IQ34" s="30">
        <f>HR34*100/Italia!BT34</f>
        <v>9.030307421728333</v>
      </c>
      <c r="IR34" s="30">
        <f>HS34*100/Italia!BU34</f>
        <v>9.335439805514508</v>
      </c>
    </row>
    <row r="35" spans="1:252" ht="12">
      <c r="A35" s="1" t="s">
        <v>32</v>
      </c>
      <c r="B35" s="20"/>
      <c r="C35" s="10"/>
      <c r="D35" s="11"/>
      <c r="E35" s="9"/>
      <c r="F35" s="20">
        <v>20</v>
      </c>
      <c r="G35" s="10">
        <v>350</v>
      </c>
      <c r="H35" s="11">
        <v>7000</v>
      </c>
      <c r="I35" s="23" t="e">
        <f>F35*100/B35-100</f>
        <v>#DIV/0!</v>
      </c>
      <c r="J35" s="23" t="e">
        <f>G35*100/C35-100</f>
        <v>#DIV/0!</v>
      </c>
      <c r="K35" s="23" t="e">
        <f>H35*100/D35-100</f>
        <v>#DIV/0!</v>
      </c>
      <c r="L35" s="8"/>
      <c r="M35" s="20">
        <v>25</v>
      </c>
      <c r="N35" s="10">
        <v>350</v>
      </c>
      <c r="O35" s="11">
        <v>8700</v>
      </c>
      <c r="P35" s="23">
        <f>M35*100/F35-100</f>
        <v>25</v>
      </c>
      <c r="Q35" s="23">
        <f>N35*100/G35-100</f>
        <v>0</v>
      </c>
      <c r="R35" s="23">
        <f>O35*100/H35-100</f>
        <v>24.285714285714292</v>
      </c>
      <c r="S35" s="8"/>
      <c r="T35" s="20">
        <v>0</v>
      </c>
      <c r="U35" s="10">
        <v>0</v>
      </c>
      <c r="V35" s="11">
        <v>0</v>
      </c>
      <c r="W35" s="23">
        <f t="shared" si="161"/>
        <v>-100</v>
      </c>
      <c r="X35" s="23">
        <f>U35*100/N35-100</f>
        <v>-100</v>
      </c>
      <c r="Y35" s="23">
        <f t="shared" si="162"/>
        <v>-100</v>
      </c>
      <c r="Z35" s="8"/>
      <c r="AA35" s="20" t="s">
        <v>1</v>
      </c>
      <c r="AB35" s="10" t="s">
        <v>1</v>
      </c>
      <c r="AC35" s="11" t="s">
        <v>1</v>
      </c>
      <c r="AD35" s="23" t="s">
        <v>1</v>
      </c>
      <c r="AE35" s="23" t="s">
        <v>1</v>
      </c>
      <c r="AF35" s="23" t="s">
        <v>1</v>
      </c>
      <c r="AG35" s="6"/>
      <c r="AH35" s="20" t="s">
        <v>1</v>
      </c>
      <c r="AI35" s="10" t="s">
        <v>1</v>
      </c>
      <c r="AJ35" s="11" t="s">
        <v>1</v>
      </c>
      <c r="AK35" s="23" t="s">
        <v>1</v>
      </c>
      <c r="AL35" s="23" t="s">
        <v>1</v>
      </c>
      <c r="AM35" s="23" t="s">
        <v>1</v>
      </c>
      <c r="AN35" s="6"/>
      <c r="AO35" s="20">
        <v>0</v>
      </c>
      <c r="AP35" s="10">
        <v>0</v>
      </c>
      <c r="AQ35" s="11">
        <v>0</v>
      </c>
      <c r="AR35" s="23" t="s">
        <v>1</v>
      </c>
      <c r="AS35" s="23" t="s">
        <v>1</v>
      </c>
      <c r="AT35" s="23" t="s">
        <v>1</v>
      </c>
      <c r="AU35" s="6"/>
      <c r="AV35" s="20" t="s">
        <v>1</v>
      </c>
      <c r="AW35" s="10" t="s">
        <v>1</v>
      </c>
      <c r="AX35" s="11" t="s">
        <v>1</v>
      </c>
      <c r="AY35" s="23" t="s">
        <v>1</v>
      </c>
      <c r="AZ35" s="23" t="s">
        <v>1</v>
      </c>
      <c r="BA35" s="23" t="s">
        <v>1</v>
      </c>
      <c r="BB35" s="6"/>
      <c r="BC35" s="20" t="s">
        <v>1</v>
      </c>
      <c r="BD35" s="10" t="s">
        <v>1</v>
      </c>
      <c r="BE35" s="11" t="s">
        <v>1</v>
      </c>
      <c r="BF35" s="23" t="s">
        <v>1</v>
      </c>
      <c r="BG35" s="23" t="s">
        <v>1</v>
      </c>
      <c r="BH35" s="23" t="s">
        <v>1</v>
      </c>
      <c r="BI35" s="6"/>
      <c r="BJ35" s="20" t="s">
        <v>1</v>
      </c>
      <c r="BK35" s="10" t="s">
        <v>1</v>
      </c>
      <c r="BL35" s="11" t="s">
        <v>1</v>
      </c>
      <c r="BM35" s="23" t="s">
        <v>1</v>
      </c>
      <c r="BN35" s="23" t="s">
        <v>1</v>
      </c>
      <c r="BO35" s="23" t="s">
        <v>1</v>
      </c>
      <c r="BP35" s="6"/>
      <c r="BQ35" s="20" t="s">
        <v>1</v>
      </c>
      <c r="BR35" s="10" t="s">
        <v>1</v>
      </c>
      <c r="BS35" s="11" t="s">
        <v>1</v>
      </c>
      <c r="BT35" s="23" t="s">
        <v>1</v>
      </c>
      <c r="BU35" s="23" t="s">
        <v>1</v>
      </c>
      <c r="BV35" s="23" t="s">
        <v>1</v>
      </c>
      <c r="BW35" s="6"/>
      <c r="BX35" s="20" t="s">
        <v>1</v>
      </c>
      <c r="BY35" s="10" t="s">
        <v>1</v>
      </c>
      <c r="BZ35" s="11" t="s">
        <v>1</v>
      </c>
      <c r="CA35" s="23" t="s">
        <v>1</v>
      </c>
      <c r="CB35" s="23" t="s">
        <v>1</v>
      </c>
      <c r="CC35" s="23" t="s">
        <v>1</v>
      </c>
      <c r="CD35" s="6"/>
      <c r="CE35" s="20" t="s">
        <v>1</v>
      </c>
      <c r="CF35" s="10" t="s">
        <v>1</v>
      </c>
      <c r="CG35" s="11" t="s">
        <v>1</v>
      </c>
      <c r="CH35" s="23" t="s">
        <v>1</v>
      </c>
      <c r="CI35" s="23" t="s">
        <v>1</v>
      </c>
      <c r="CJ35" s="23" t="s">
        <v>1</v>
      </c>
      <c r="CK35" s="6"/>
      <c r="CL35" s="20" t="s">
        <v>1</v>
      </c>
      <c r="CM35" s="10" t="s">
        <v>1</v>
      </c>
      <c r="CN35" s="11" t="s">
        <v>1</v>
      </c>
      <c r="CO35" s="23" t="s">
        <v>1</v>
      </c>
      <c r="CP35" s="23" t="s">
        <v>1</v>
      </c>
      <c r="CQ35" s="23" t="s">
        <v>1</v>
      </c>
      <c r="CR35" s="6"/>
      <c r="CS35" s="20" t="s">
        <v>1</v>
      </c>
      <c r="CT35" s="10" t="s">
        <v>1</v>
      </c>
      <c r="CU35" s="11" t="s">
        <v>1</v>
      </c>
      <c r="CV35" s="23" t="s">
        <v>1</v>
      </c>
      <c r="CW35" s="23" t="s">
        <v>1</v>
      </c>
      <c r="CX35" s="23" t="s">
        <v>1</v>
      </c>
      <c r="CY35" s="6"/>
      <c r="CZ35" s="20" t="s">
        <v>1</v>
      </c>
      <c r="DA35" s="10" t="s">
        <v>1</v>
      </c>
      <c r="DB35" s="11" t="s">
        <v>1</v>
      </c>
      <c r="DC35" s="23" t="s">
        <v>1</v>
      </c>
      <c r="DD35" s="23" t="s">
        <v>1</v>
      </c>
      <c r="DE35" s="23" t="s">
        <v>1</v>
      </c>
      <c r="DF35" s="6"/>
      <c r="DG35" s="20" t="s">
        <v>1</v>
      </c>
      <c r="DH35" s="10" t="s">
        <v>1</v>
      </c>
      <c r="DI35" s="11" t="s">
        <v>1</v>
      </c>
      <c r="DJ35" s="23" t="s">
        <v>1</v>
      </c>
      <c r="DK35" s="23" t="s">
        <v>1</v>
      </c>
      <c r="DL35" s="23" t="s">
        <v>1</v>
      </c>
      <c r="DM35" s="6"/>
      <c r="DN35" s="20" t="s">
        <v>1</v>
      </c>
      <c r="DO35" s="10" t="s">
        <v>1</v>
      </c>
      <c r="DP35" s="11" t="s">
        <v>1</v>
      </c>
      <c r="DQ35" s="23" t="s">
        <v>1</v>
      </c>
      <c r="DR35" s="23" t="s">
        <v>1</v>
      </c>
      <c r="DS35" s="23" t="s">
        <v>1</v>
      </c>
      <c r="DT35" s="6"/>
      <c r="DU35" s="20" t="s">
        <v>1</v>
      </c>
      <c r="DV35" s="10" t="s">
        <v>1</v>
      </c>
      <c r="DW35" s="11" t="s">
        <v>1</v>
      </c>
      <c r="DX35" s="23" t="s">
        <v>1</v>
      </c>
      <c r="DY35" s="23" t="s">
        <v>1</v>
      </c>
      <c r="DZ35" s="23" t="s">
        <v>1</v>
      </c>
      <c r="EA35" s="6"/>
      <c r="EB35" s="20" t="s">
        <v>1</v>
      </c>
      <c r="EC35" s="10" t="s">
        <v>1</v>
      </c>
      <c r="ED35" s="11" t="s">
        <v>1</v>
      </c>
      <c r="EE35" s="23" t="s">
        <v>1</v>
      </c>
      <c r="EF35" s="23" t="s">
        <v>1</v>
      </c>
      <c r="EG35" s="23" t="s">
        <v>1</v>
      </c>
      <c r="EH35" s="6"/>
      <c r="EI35" s="20" t="s">
        <v>1</v>
      </c>
      <c r="EJ35" s="10" t="s">
        <v>1</v>
      </c>
      <c r="EK35" s="11" t="s">
        <v>1</v>
      </c>
      <c r="EL35" s="23" t="s">
        <v>1</v>
      </c>
      <c r="EM35" s="23" t="s">
        <v>1</v>
      </c>
      <c r="EN35" s="23" t="s">
        <v>1</v>
      </c>
      <c r="EO35" s="6"/>
      <c r="EP35" s="20" t="s">
        <v>1</v>
      </c>
      <c r="EQ35" s="10" t="s">
        <v>1</v>
      </c>
      <c r="ER35" s="11" t="s">
        <v>1</v>
      </c>
      <c r="ES35" s="23" t="s">
        <v>1</v>
      </c>
      <c r="ET35" s="23" t="s">
        <v>1</v>
      </c>
      <c r="EU35" s="23" t="s">
        <v>1</v>
      </c>
      <c r="EV35" s="6"/>
      <c r="EW35" s="20" t="s">
        <v>1</v>
      </c>
      <c r="EX35" s="10" t="s">
        <v>1</v>
      </c>
      <c r="EY35" s="10" t="s">
        <v>1</v>
      </c>
      <c r="EZ35" s="11" t="s">
        <v>1</v>
      </c>
      <c r="FA35" s="23" t="s">
        <v>1</v>
      </c>
      <c r="FB35" s="23" t="s">
        <v>1</v>
      </c>
      <c r="FC35" s="23" t="s">
        <v>1</v>
      </c>
      <c r="FD35" s="6"/>
      <c r="FE35" s="20" t="s">
        <v>1</v>
      </c>
      <c r="FF35" s="10" t="s">
        <v>1</v>
      </c>
      <c r="FG35" s="10" t="s">
        <v>1</v>
      </c>
      <c r="FH35" s="11" t="s">
        <v>1</v>
      </c>
      <c r="FI35" s="23" t="s">
        <v>1</v>
      </c>
      <c r="FJ35" s="23" t="s">
        <v>1</v>
      </c>
      <c r="FK35" s="23" t="s">
        <v>1</v>
      </c>
      <c r="FL35" s="23" t="s">
        <v>1</v>
      </c>
      <c r="FM35" s="23"/>
      <c r="FN35" s="20" t="s">
        <v>1</v>
      </c>
      <c r="FO35" s="10" t="s">
        <v>1</v>
      </c>
      <c r="FP35" s="11"/>
      <c r="FQ35" s="11" t="s">
        <v>1</v>
      </c>
      <c r="FR35" s="23" t="s">
        <v>1</v>
      </c>
      <c r="FS35" s="23" t="s">
        <v>1</v>
      </c>
      <c r="FT35" s="23" t="e">
        <f t="shared" si="53"/>
        <v>#DIV/0!</v>
      </c>
      <c r="FU35" s="23" t="e">
        <f t="shared" si="53"/>
        <v>#DIV/0!</v>
      </c>
      <c r="FV35" s="23"/>
      <c r="FW35" s="20">
        <v>275</v>
      </c>
      <c r="FX35" s="10">
        <f>FY35/FW35</f>
        <v>210</v>
      </c>
      <c r="FY35" s="20">
        <v>57750</v>
      </c>
      <c r="FZ35" s="20">
        <v>57750</v>
      </c>
      <c r="GA35" s="23" t="s">
        <v>1</v>
      </c>
      <c r="GB35" s="23" t="s">
        <v>1</v>
      </c>
      <c r="GC35" s="23" t="s">
        <v>1</v>
      </c>
      <c r="GD35" s="23" t="s">
        <v>1</v>
      </c>
      <c r="GE35" s="23"/>
      <c r="GF35" s="20">
        <v>160</v>
      </c>
      <c r="GG35" s="10">
        <f>GH35/GF35</f>
        <v>230</v>
      </c>
      <c r="GH35" s="20">
        <v>36800</v>
      </c>
      <c r="GI35" s="20">
        <v>36800</v>
      </c>
      <c r="GJ35" s="23">
        <f>GF35*100/FW35-100</f>
        <v>-41.81818181818182</v>
      </c>
      <c r="GK35" s="23">
        <f>GG35*100/FX35-100</f>
        <v>9.523809523809518</v>
      </c>
      <c r="GL35" s="23">
        <f>GH35*100/FY35-100</f>
        <v>-36.277056277056275</v>
      </c>
      <c r="GM35" s="23">
        <f>GI35*100/FZ35-100</f>
        <v>-36.277056277056275</v>
      </c>
      <c r="GN35" s="23"/>
      <c r="GO35" s="20">
        <v>203</v>
      </c>
      <c r="GP35" s="10">
        <f>GQ35/GO35</f>
        <v>230</v>
      </c>
      <c r="GQ35" s="20">
        <v>46690</v>
      </c>
      <c r="GR35" s="20">
        <v>46690</v>
      </c>
      <c r="GS35" s="23">
        <f t="shared" si="58"/>
        <v>26.875</v>
      </c>
      <c r="GT35" s="23">
        <f t="shared" si="58"/>
        <v>0</v>
      </c>
      <c r="GU35" s="23">
        <f t="shared" si="59"/>
        <v>26.875</v>
      </c>
      <c r="GV35" s="23">
        <f t="shared" si="60"/>
        <v>26.875</v>
      </c>
      <c r="GW35" s="23"/>
      <c r="GX35" s="20">
        <v>192</v>
      </c>
      <c r="GY35" s="10">
        <f>GZ35/GX35</f>
        <v>260</v>
      </c>
      <c r="GZ35" s="20">
        <v>49920</v>
      </c>
      <c r="HA35" s="20">
        <v>49920</v>
      </c>
      <c r="HB35" s="23" t="s">
        <v>1</v>
      </c>
      <c r="HC35" s="23" t="s">
        <v>1</v>
      </c>
      <c r="HD35" s="23">
        <f t="shared" si="62"/>
        <v>6.917969586635252</v>
      </c>
      <c r="HE35" s="23">
        <f t="shared" si="63"/>
        <v>6.917969586635252</v>
      </c>
      <c r="HF35" s="23"/>
      <c r="HG35" s="20">
        <v>165</v>
      </c>
      <c r="HH35" s="10">
        <f>HI35/HG35</f>
        <v>280</v>
      </c>
      <c r="HI35" s="20">
        <v>46200</v>
      </c>
      <c r="HJ35" s="20">
        <v>46200</v>
      </c>
      <c r="HK35" s="23">
        <f t="shared" si="160"/>
        <v>-14.0625</v>
      </c>
      <c r="HL35" s="23" t="s">
        <v>1</v>
      </c>
      <c r="HM35" s="23">
        <f t="shared" si="105"/>
        <v>-7.45192307692308</v>
      </c>
      <c r="HN35" s="23">
        <f t="shared" si="106"/>
        <v>-7.45192307692308</v>
      </c>
      <c r="HO35" s="23"/>
      <c r="HP35" s="20">
        <v>355</v>
      </c>
      <c r="HQ35" s="10">
        <f>HR35/HP35</f>
        <v>287.88732394366195</v>
      </c>
      <c r="HR35" s="20">
        <v>102200</v>
      </c>
      <c r="HS35" s="20">
        <v>102200</v>
      </c>
      <c r="HT35" s="23">
        <f t="shared" si="158"/>
        <v>115.15151515151516</v>
      </c>
      <c r="HU35" s="23">
        <f>HQ35*100/HH35-100</f>
        <v>2.81690140845069</v>
      </c>
      <c r="HV35" s="23">
        <f t="shared" si="64"/>
        <v>121.21212121212122</v>
      </c>
      <c r="HW35" s="23">
        <f t="shared" si="65"/>
        <v>121.21212121212122</v>
      </c>
      <c r="HX35" s="23"/>
      <c r="HY35" s="20"/>
      <c r="HZ35" s="10" t="e">
        <f>IA35/HY35</f>
        <v>#DIV/0!</v>
      </c>
      <c r="IA35" s="20"/>
      <c r="IB35" s="20"/>
      <c r="IC35" s="23">
        <f t="shared" si="159"/>
        <v>-100</v>
      </c>
      <c r="ID35" s="23" t="e">
        <f>HZ35*100/HQ35-100</f>
        <v>#DIV/0!</v>
      </c>
      <c r="IE35" s="23">
        <f t="shared" si="42"/>
        <v>-100</v>
      </c>
      <c r="IF35" s="23">
        <f t="shared" si="43"/>
        <v>-100</v>
      </c>
      <c r="IG35" s="23"/>
      <c r="IH35" s="1" t="s">
        <v>32</v>
      </c>
      <c r="II35" s="29">
        <f t="shared" si="44"/>
        <v>199</v>
      </c>
      <c r="IJ35" s="30">
        <f t="shared" si="45"/>
        <v>242</v>
      </c>
      <c r="IK35" s="29">
        <f t="shared" si="46"/>
        <v>47472</v>
      </c>
      <c r="IL35" s="25">
        <f t="shared" si="47"/>
        <v>78.39195979899498</v>
      </c>
      <c r="IM35" s="25">
        <f t="shared" si="48"/>
        <v>18.96170410895121</v>
      </c>
      <c r="IN35" s="25">
        <f t="shared" si="49"/>
        <v>115.28479946073475</v>
      </c>
      <c r="IP35" s="30">
        <f>HP35*100/Italia!BR35</f>
        <v>37.80617678381257</v>
      </c>
      <c r="IQ35" s="30">
        <f>HR35*100/Italia!BT35</f>
        <v>51.510279375223654</v>
      </c>
      <c r="IR35" s="30">
        <f>HS35*100/Italia!BU35</f>
        <v>51.82214154239325</v>
      </c>
    </row>
    <row r="36" spans="1:252" ht="12">
      <c r="A36" s="1" t="s">
        <v>144</v>
      </c>
      <c r="B36" s="22">
        <v>2</v>
      </c>
      <c r="C36" s="10">
        <v>300</v>
      </c>
      <c r="D36" s="11">
        <v>550</v>
      </c>
      <c r="E36" s="9"/>
      <c r="F36" s="22">
        <v>0</v>
      </c>
      <c r="G36" s="10">
        <v>0</v>
      </c>
      <c r="H36" s="11">
        <v>0</v>
      </c>
      <c r="I36" s="23">
        <f>F36*100/B36-100</f>
        <v>-100</v>
      </c>
      <c r="J36" s="24" t="s">
        <v>1</v>
      </c>
      <c r="K36" s="23">
        <f>H36*100/D36-100</f>
        <v>-100</v>
      </c>
      <c r="L36" s="8"/>
      <c r="M36" s="22">
        <v>0</v>
      </c>
      <c r="N36" s="10">
        <v>0</v>
      </c>
      <c r="O36" s="11">
        <v>0</v>
      </c>
      <c r="P36" s="23" t="e">
        <f>M36*100/F36-100</f>
        <v>#DIV/0!</v>
      </c>
      <c r="Q36" s="24" t="s">
        <v>1</v>
      </c>
      <c r="R36" s="23" t="e">
        <f>O36*100/H36-100</f>
        <v>#DIV/0!</v>
      </c>
      <c r="S36" s="8"/>
      <c r="T36" s="22">
        <v>0</v>
      </c>
      <c r="U36" s="10">
        <v>0</v>
      </c>
      <c r="V36" s="11">
        <v>0</v>
      </c>
      <c r="W36" s="23" t="e">
        <f t="shared" si="161"/>
        <v>#DIV/0!</v>
      </c>
      <c r="X36" s="24" t="s">
        <v>1</v>
      </c>
      <c r="Y36" s="23" t="e">
        <f t="shared" si="162"/>
        <v>#DIV/0!</v>
      </c>
      <c r="Z36" s="8"/>
      <c r="AA36" s="22">
        <v>0</v>
      </c>
      <c r="AB36" s="10">
        <v>0</v>
      </c>
      <c r="AC36" s="11">
        <v>0</v>
      </c>
      <c r="AD36" s="23" t="e">
        <f aca="true" t="shared" si="163" ref="AD36:AD67">AA36*100/T36-100</f>
        <v>#DIV/0!</v>
      </c>
      <c r="AE36" s="24" t="s">
        <v>1</v>
      </c>
      <c r="AF36" s="23" t="e">
        <f aca="true" t="shared" si="164" ref="AF36:AF67">AC36*100/V36-100</f>
        <v>#DIV/0!</v>
      </c>
      <c r="AG36" s="8"/>
      <c r="AH36" s="22" t="s">
        <v>1</v>
      </c>
      <c r="AI36" s="10" t="s">
        <v>1</v>
      </c>
      <c r="AJ36" s="11" t="s">
        <v>1</v>
      </c>
      <c r="AK36" s="23" t="e">
        <f aca="true" t="shared" si="165" ref="AK36:AK67">AH36*100/AA36-100</f>
        <v>#DIV/0!</v>
      </c>
      <c r="AL36" s="24" t="s">
        <v>1</v>
      </c>
      <c r="AM36" s="23" t="e">
        <f aca="true" t="shared" si="166" ref="AM36:AM67">AJ36*100/AC36-100</f>
        <v>#DIV/0!</v>
      </c>
      <c r="AN36" s="8"/>
      <c r="AO36" s="22">
        <v>0</v>
      </c>
      <c r="AP36" s="10">
        <v>0</v>
      </c>
      <c r="AQ36" s="11">
        <v>0</v>
      </c>
      <c r="AR36" s="23" t="e">
        <f aca="true" t="shared" si="167" ref="AR36:AR67">AO36*100/AH36-100</f>
        <v>#DIV/0!</v>
      </c>
      <c r="AS36" s="24" t="s">
        <v>1</v>
      </c>
      <c r="AT36" s="23" t="e">
        <f aca="true" t="shared" si="168" ref="AT36:AT67">AQ36*100/AJ36-100</f>
        <v>#DIV/0!</v>
      </c>
      <c r="AU36" s="8"/>
      <c r="AV36" s="22">
        <v>0</v>
      </c>
      <c r="AW36" s="10">
        <v>0</v>
      </c>
      <c r="AX36" s="11">
        <v>0</v>
      </c>
      <c r="AY36" s="23" t="e">
        <f aca="true" t="shared" si="169" ref="AY36:AY67">AV36*100/AO36-100</f>
        <v>#DIV/0!</v>
      </c>
      <c r="AZ36" s="24" t="s">
        <v>1</v>
      </c>
      <c r="BA36" s="23" t="e">
        <f aca="true" t="shared" si="170" ref="BA36:BA67">AX36*100/AQ36-100</f>
        <v>#DIV/0!</v>
      </c>
      <c r="BB36" s="8"/>
      <c r="BC36" s="22">
        <v>0</v>
      </c>
      <c r="BD36" s="10">
        <v>0</v>
      </c>
      <c r="BE36" s="11">
        <v>0</v>
      </c>
      <c r="BF36" s="23" t="e">
        <f aca="true" t="shared" si="171" ref="BF36:BF67">BC36*100/AV36-100</f>
        <v>#DIV/0!</v>
      </c>
      <c r="BG36" s="24" t="s">
        <v>1</v>
      </c>
      <c r="BH36" s="23" t="e">
        <f aca="true" t="shared" si="172" ref="BH36:BH67">BE36*100/AX36-100</f>
        <v>#DIV/0!</v>
      </c>
      <c r="BI36" s="8"/>
      <c r="BJ36" s="22" t="s">
        <v>1</v>
      </c>
      <c r="BK36" s="10" t="s">
        <v>1</v>
      </c>
      <c r="BL36" s="11" t="s">
        <v>1</v>
      </c>
      <c r="BM36" s="23" t="s">
        <v>1</v>
      </c>
      <c r="BN36" s="24" t="s">
        <v>1</v>
      </c>
      <c r="BO36" s="23" t="e">
        <f aca="true" t="shared" si="173" ref="BO36:BO67">BL36*100/BE36-100</f>
        <v>#DIV/0!</v>
      </c>
      <c r="BP36" s="8"/>
      <c r="BQ36" s="22" t="s">
        <v>1</v>
      </c>
      <c r="BR36" s="10" t="s">
        <v>1</v>
      </c>
      <c r="BS36" s="11" t="s">
        <v>1</v>
      </c>
      <c r="BT36" s="23" t="s">
        <v>1</v>
      </c>
      <c r="BU36" s="24" t="s">
        <v>1</v>
      </c>
      <c r="BV36" s="23" t="e">
        <f aca="true" t="shared" si="174" ref="BV36:BV67">BS36*100/BL36-100</f>
        <v>#DIV/0!</v>
      </c>
      <c r="BW36" s="8"/>
      <c r="BX36" s="22">
        <v>0</v>
      </c>
      <c r="BY36" s="10">
        <v>0</v>
      </c>
      <c r="BZ36" s="11">
        <v>0</v>
      </c>
      <c r="CA36" s="23" t="e">
        <f aca="true" t="shared" si="175" ref="CA36:CA67">BX36*100/BQ36-100</f>
        <v>#DIV/0!</v>
      </c>
      <c r="CB36" s="24" t="s">
        <v>1</v>
      </c>
      <c r="CC36" s="23" t="e">
        <f aca="true" t="shared" si="176" ref="CC36:CC67">BZ36*100/BS36-100</f>
        <v>#DIV/0!</v>
      </c>
      <c r="CD36" s="8"/>
      <c r="CE36" s="22">
        <v>0</v>
      </c>
      <c r="CF36" s="10">
        <v>0</v>
      </c>
      <c r="CG36" s="11">
        <v>0</v>
      </c>
      <c r="CH36" s="23" t="e">
        <f aca="true" t="shared" si="177" ref="CH36:CH67">CE36*100/BX36-100</f>
        <v>#DIV/0!</v>
      </c>
      <c r="CI36" s="24" t="s">
        <v>1</v>
      </c>
      <c r="CJ36" s="23" t="e">
        <f aca="true" t="shared" si="178" ref="CJ36:CJ67">CG36*100/BZ36-100</f>
        <v>#DIV/0!</v>
      </c>
      <c r="CK36" s="8"/>
      <c r="CL36" s="22">
        <v>0</v>
      </c>
      <c r="CM36" s="10">
        <v>0</v>
      </c>
      <c r="CN36" s="11">
        <v>0</v>
      </c>
      <c r="CO36" s="23" t="e">
        <f aca="true" t="shared" si="179" ref="CO36:CO67">CL36*100/CE36-100</f>
        <v>#DIV/0!</v>
      </c>
      <c r="CP36" s="24" t="s">
        <v>1</v>
      </c>
      <c r="CQ36" s="23" t="e">
        <f aca="true" t="shared" si="180" ref="CQ36:CQ67">CN36*100/CG36-100</f>
        <v>#DIV/0!</v>
      </c>
      <c r="CR36" s="8"/>
      <c r="CS36" s="22">
        <v>0</v>
      </c>
      <c r="CT36" s="10">
        <v>0</v>
      </c>
      <c r="CU36" s="11">
        <v>0</v>
      </c>
      <c r="CV36" s="23" t="e">
        <f aca="true" t="shared" si="181" ref="CV36:CV67">CS36*100/CL36-100</f>
        <v>#DIV/0!</v>
      </c>
      <c r="CW36" s="24" t="s">
        <v>1</v>
      </c>
      <c r="CX36" s="23" t="e">
        <f aca="true" t="shared" si="182" ref="CX36:CX67">CU36*100/CN36-100</f>
        <v>#DIV/0!</v>
      </c>
      <c r="CY36" s="8"/>
      <c r="CZ36" s="22">
        <v>0</v>
      </c>
      <c r="DA36" s="10">
        <v>0</v>
      </c>
      <c r="DB36" s="11">
        <v>0</v>
      </c>
      <c r="DC36" s="23" t="e">
        <f aca="true" t="shared" si="183" ref="DC36:DC67">CZ36*100/CS36-100</f>
        <v>#DIV/0!</v>
      </c>
      <c r="DD36" s="24" t="s">
        <v>1</v>
      </c>
      <c r="DE36" s="23" t="e">
        <f aca="true" t="shared" si="184" ref="DE36:DE67">DB36*100/CU36-100</f>
        <v>#DIV/0!</v>
      </c>
      <c r="DF36" s="8"/>
      <c r="DG36" s="22">
        <v>0</v>
      </c>
      <c r="DH36" s="10">
        <v>0</v>
      </c>
      <c r="DI36" s="11">
        <v>0</v>
      </c>
      <c r="DJ36" s="23" t="e">
        <f aca="true" t="shared" si="185" ref="DJ36:DJ67">DG36*100/CZ36-100</f>
        <v>#DIV/0!</v>
      </c>
      <c r="DK36" s="24" t="s">
        <v>1</v>
      </c>
      <c r="DL36" s="23" t="e">
        <f aca="true" t="shared" si="186" ref="DL36:DL67">DI36*100/DB36-100</f>
        <v>#DIV/0!</v>
      </c>
      <c r="DM36" s="8"/>
      <c r="DN36" s="22"/>
      <c r="DO36" s="10"/>
      <c r="DP36" s="11"/>
      <c r="DQ36" s="23" t="e">
        <f aca="true" t="shared" si="187" ref="DQ36:DQ67">DN36*100/DG36-100</f>
        <v>#DIV/0!</v>
      </c>
      <c r="DR36" s="24" t="s">
        <v>1</v>
      </c>
      <c r="DS36" s="23" t="e">
        <f aca="true" t="shared" si="188" ref="DS36:DS67">DP36*100/DI36-100</f>
        <v>#DIV/0!</v>
      </c>
      <c r="DT36" s="8"/>
      <c r="DU36" s="22"/>
      <c r="DV36" s="10"/>
      <c r="DW36" s="11"/>
      <c r="DX36" s="23" t="e">
        <f aca="true" t="shared" si="189" ref="DX36:DX67">DU36*100/DN36-100</f>
        <v>#DIV/0!</v>
      </c>
      <c r="DY36" s="24" t="s">
        <v>1</v>
      </c>
      <c r="DZ36" s="23" t="e">
        <f aca="true" t="shared" si="190" ref="DZ36:DZ67">DW36*100/DP36-100</f>
        <v>#DIV/0!</v>
      </c>
      <c r="EA36" s="8"/>
      <c r="EB36" s="22">
        <v>1</v>
      </c>
      <c r="EC36" s="10">
        <f>ED36/EB36</f>
        <v>990</v>
      </c>
      <c r="ED36" s="11">
        <v>990</v>
      </c>
      <c r="EE36" s="23" t="e">
        <f aca="true" t="shared" si="191" ref="EE36:EE67">EB36*100/DU36-100</f>
        <v>#DIV/0!</v>
      </c>
      <c r="EF36" s="24" t="s">
        <v>1</v>
      </c>
      <c r="EG36" s="23" t="e">
        <f aca="true" t="shared" si="192" ref="EG36:EG67">ED36*100/DW36-100</f>
        <v>#DIV/0!</v>
      </c>
      <c r="EH36" s="8"/>
      <c r="EI36" s="22">
        <v>1.5</v>
      </c>
      <c r="EJ36" s="10">
        <f>EK36/EI36</f>
        <v>900</v>
      </c>
      <c r="EK36" s="11">
        <v>1350</v>
      </c>
      <c r="EL36" s="23">
        <f aca="true" t="shared" si="193" ref="EL36:EL67">EI36*100/EB36-100</f>
        <v>50</v>
      </c>
      <c r="EM36" s="24" t="s">
        <v>1</v>
      </c>
      <c r="EN36" s="23">
        <f aca="true" t="shared" si="194" ref="EN36:EN67">EK36*100/ED36-100</f>
        <v>36.363636363636374</v>
      </c>
      <c r="EO36" s="8"/>
      <c r="EP36" s="22">
        <v>1.2</v>
      </c>
      <c r="EQ36" s="10">
        <f>ER36/EP36</f>
        <v>300</v>
      </c>
      <c r="ER36" s="11">
        <v>360</v>
      </c>
      <c r="ES36" s="23">
        <f aca="true" t="shared" si="195" ref="ES36:ES67">EP36*100/EI36-100</f>
        <v>-20</v>
      </c>
      <c r="ET36" s="24" t="s">
        <v>1</v>
      </c>
      <c r="EU36" s="23">
        <f aca="true" t="shared" si="196" ref="EU36:EU67">ER36*100/EK36-100</f>
        <v>-73.33333333333333</v>
      </c>
      <c r="EV36" s="8"/>
      <c r="EW36" s="22">
        <v>1.4</v>
      </c>
      <c r="EX36" s="10">
        <f aca="true" t="shared" si="197" ref="EX36:EX42">EY36/EW36</f>
        <v>300</v>
      </c>
      <c r="EY36" s="11">
        <v>420</v>
      </c>
      <c r="EZ36" s="11">
        <v>420</v>
      </c>
      <c r="FA36" s="23">
        <f aca="true" t="shared" si="198" ref="FA36:FA99">EW36*100/EP36-100</f>
        <v>16.66666666666667</v>
      </c>
      <c r="FB36" s="24" t="s">
        <v>1</v>
      </c>
      <c r="FC36" s="23">
        <f aca="true" t="shared" si="199" ref="FC36:FC99">EZ36*100/ER36-100</f>
        <v>16.66666666666667</v>
      </c>
      <c r="FD36" s="8"/>
      <c r="FE36" s="22">
        <v>1.5</v>
      </c>
      <c r="FF36" s="10">
        <f aca="true" t="shared" si="200" ref="FF36:FF42">FG36/FE36</f>
        <v>300</v>
      </c>
      <c r="FG36" s="11">
        <v>450</v>
      </c>
      <c r="FH36" s="11">
        <v>450</v>
      </c>
      <c r="FI36" s="23">
        <f>FE36*100/EW36-100</f>
        <v>7.142857142857153</v>
      </c>
      <c r="FJ36" s="23">
        <f>FF36*100/EX36-100</f>
        <v>0</v>
      </c>
      <c r="FK36" s="23">
        <f>FG36*100/EY36-100</f>
        <v>7.142857142857139</v>
      </c>
      <c r="FL36" s="23">
        <f>FH36*100/EZ36-100</f>
        <v>7.142857142857139</v>
      </c>
      <c r="FM36" s="23"/>
      <c r="FN36" s="22">
        <v>1.5</v>
      </c>
      <c r="FO36" s="10">
        <f>FP36/FN36</f>
        <v>300</v>
      </c>
      <c r="FP36" s="11">
        <v>450</v>
      </c>
      <c r="FQ36" s="11">
        <v>450</v>
      </c>
      <c r="FR36" s="24" t="s">
        <v>1</v>
      </c>
      <c r="FS36" s="24" t="s">
        <v>1</v>
      </c>
      <c r="FT36" s="23">
        <f t="shared" si="53"/>
        <v>0</v>
      </c>
      <c r="FU36" s="23">
        <f t="shared" si="53"/>
        <v>0</v>
      </c>
      <c r="FV36" s="23"/>
      <c r="FW36" s="22"/>
      <c r="FX36" s="10" t="e">
        <f>FY36/FW36</f>
        <v>#DIV/0!</v>
      </c>
      <c r="FY36" s="22"/>
      <c r="FZ36" s="22"/>
      <c r="GA36" s="24" t="s">
        <v>1</v>
      </c>
      <c r="GB36" s="24" t="s">
        <v>1</v>
      </c>
      <c r="GC36" s="24" t="s">
        <v>1</v>
      </c>
      <c r="GD36" s="24" t="s">
        <v>1</v>
      </c>
      <c r="GE36" s="23"/>
      <c r="GF36" s="22">
        <v>5</v>
      </c>
      <c r="GG36" s="10">
        <f>GH36/GF36</f>
        <v>600</v>
      </c>
      <c r="GH36" s="20">
        <v>3000</v>
      </c>
      <c r="GI36" s="20">
        <v>3000</v>
      </c>
      <c r="GJ36" s="24" t="s">
        <v>1</v>
      </c>
      <c r="GK36" s="24" t="s">
        <v>1</v>
      </c>
      <c r="GL36" s="23" t="e">
        <f t="shared" si="57"/>
        <v>#DIV/0!</v>
      </c>
      <c r="GM36" s="23" t="e">
        <f t="shared" si="57"/>
        <v>#DIV/0!</v>
      </c>
      <c r="GN36" s="23"/>
      <c r="GO36" s="22"/>
      <c r="GP36" s="10" t="e">
        <f>GQ36/GO36</f>
        <v>#DIV/0!</v>
      </c>
      <c r="GQ36" s="22"/>
      <c r="GR36" s="22"/>
      <c r="GS36" s="24" t="s">
        <v>1</v>
      </c>
      <c r="GT36" s="24" t="s">
        <v>1</v>
      </c>
      <c r="GU36" s="23">
        <f t="shared" si="59"/>
        <v>-100</v>
      </c>
      <c r="GV36" s="23">
        <f t="shared" si="60"/>
        <v>-100</v>
      </c>
      <c r="GW36" s="23"/>
      <c r="GX36" s="22">
        <v>5.2</v>
      </c>
      <c r="GY36" s="10">
        <f>GZ36/GX36</f>
        <v>500</v>
      </c>
      <c r="GZ36" s="20">
        <v>2600</v>
      </c>
      <c r="HA36" s="20">
        <v>2600</v>
      </c>
      <c r="HB36" s="24" t="s">
        <v>1</v>
      </c>
      <c r="HC36" s="24" t="s">
        <v>1</v>
      </c>
      <c r="HD36" s="23" t="e">
        <f t="shared" si="62"/>
        <v>#DIV/0!</v>
      </c>
      <c r="HE36" s="23" t="e">
        <f t="shared" si="63"/>
        <v>#DIV/0!</v>
      </c>
      <c r="HF36" s="23"/>
      <c r="HG36" s="22">
        <v>7</v>
      </c>
      <c r="HH36" s="10">
        <f>HI36/HG36</f>
        <v>400</v>
      </c>
      <c r="HI36" s="20">
        <v>2800</v>
      </c>
      <c r="HJ36" s="20">
        <v>2800</v>
      </c>
      <c r="HK36" s="24" t="s">
        <v>1</v>
      </c>
      <c r="HL36" s="24" t="s">
        <v>1</v>
      </c>
      <c r="HM36" s="23">
        <f t="shared" si="105"/>
        <v>7.692307692307693</v>
      </c>
      <c r="HN36" s="23">
        <f t="shared" si="106"/>
        <v>7.692307692307693</v>
      </c>
      <c r="HO36" s="23"/>
      <c r="HP36" s="22">
        <v>6.9</v>
      </c>
      <c r="HQ36" s="10">
        <f>HR36/HP36</f>
        <v>400</v>
      </c>
      <c r="HR36" s="20">
        <v>2760</v>
      </c>
      <c r="HS36" s="20">
        <v>2760</v>
      </c>
      <c r="HT36" s="24" t="s">
        <v>1</v>
      </c>
      <c r="HU36" s="24" t="s">
        <v>1</v>
      </c>
      <c r="HV36" s="23">
        <f t="shared" si="64"/>
        <v>-1.4285714285714306</v>
      </c>
      <c r="HW36" s="23">
        <f t="shared" si="65"/>
        <v>-1.4285714285714306</v>
      </c>
      <c r="HX36" s="23"/>
      <c r="HY36" s="22"/>
      <c r="HZ36" s="10" t="e">
        <f>IA36/HY36</f>
        <v>#DIV/0!</v>
      </c>
      <c r="IA36" s="20"/>
      <c r="IB36" s="20"/>
      <c r="IC36" s="24" t="s">
        <v>1</v>
      </c>
      <c r="ID36" s="24" t="s">
        <v>1</v>
      </c>
      <c r="IE36" s="23">
        <f t="shared" si="42"/>
        <v>-100</v>
      </c>
      <c r="IF36" s="23">
        <f t="shared" si="43"/>
        <v>-100</v>
      </c>
      <c r="IG36" s="23"/>
      <c r="IH36" s="1" t="s">
        <v>33</v>
      </c>
      <c r="II36" s="29">
        <f t="shared" si="44"/>
        <v>3.0375</v>
      </c>
      <c r="IJ36" s="30" t="e">
        <f t="shared" si="45"/>
        <v>#DIV/0!</v>
      </c>
      <c r="IK36" s="29">
        <f t="shared" si="46"/>
        <v>1428.75</v>
      </c>
      <c r="IL36" s="25">
        <f t="shared" si="47"/>
        <v>127.16049382716048</v>
      </c>
      <c r="IM36" s="25" t="e">
        <f t="shared" si="48"/>
        <v>#DIV/0!</v>
      </c>
      <c r="IN36" s="25">
        <f t="shared" si="49"/>
        <v>93.17585301837269</v>
      </c>
      <c r="IP36" s="30">
        <f>HP36*100/Italia!BR36</f>
        <v>21.010962241169302</v>
      </c>
      <c r="IQ36" s="30">
        <f>HR36*100/Italia!BT36</f>
        <v>26.728646135967463</v>
      </c>
      <c r="IR36" s="30">
        <f>HS36*100/Italia!BU36</f>
        <v>27.069438995684582</v>
      </c>
    </row>
    <row r="37" spans="1:252" ht="12">
      <c r="A37" s="1" t="s">
        <v>34</v>
      </c>
      <c r="B37" s="19">
        <f>B35+B36</f>
        <v>2</v>
      </c>
      <c r="C37" s="6" t="s">
        <v>1</v>
      </c>
      <c r="D37" s="9">
        <f>D35+D36</f>
        <v>550</v>
      </c>
      <c r="E37" s="9"/>
      <c r="F37" s="19">
        <f>F36+F35</f>
        <v>20</v>
      </c>
      <c r="G37" s="6" t="s">
        <v>1</v>
      </c>
      <c r="H37" s="9">
        <f>H36+H35</f>
        <v>7000</v>
      </c>
      <c r="I37" s="23">
        <f>F39*100/B37-100</f>
        <v>11100</v>
      </c>
      <c r="J37" s="23" t="e">
        <f>G39*100/C37-100</f>
        <v>#DIV/0!</v>
      </c>
      <c r="K37" s="23">
        <f>H39*100/D37-100</f>
        <v>15354.545454545454</v>
      </c>
      <c r="L37" s="8"/>
      <c r="M37" s="19">
        <f>M36+M35</f>
        <v>25</v>
      </c>
      <c r="N37" s="6" t="s">
        <v>1</v>
      </c>
      <c r="O37" s="9">
        <f>O36+O35</f>
        <v>8700</v>
      </c>
      <c r="P37" s="23">
        <f>M37*100/F39-100</f>
        <v>-88.83928571428571</v>
      </c>
      <c r="Q37" s="23">
        <f>N37*100/G39-100</f>
        <v>-100</v>
      </c>
      <c r="R37" s="23">
        <f>O37*100/H39-100</f>
        <v>-89.76470588235294</v>
      </c>
      <c r="S37" s="8"/>
      <c r="T37" s="19">
        <f>T36+T35</f>
        <v>0</v>
      </c>
      <c r="U37" s="6" t="s">
        <v>1</v>
      </c>
      <c r="V37" s="9">
        <f>V36+V35</f>
        <v>0</v>
      </c>
      <c r="W37" s="23">
        <f t="shared" si="161"/>
        <v>-100</v>
      </c>
      <c r="X37" s="23" t="e">
        <f>U37*100/N37-100</f>
        <v>#DIV/0!</v>
      </c>
      <c r="Y37" s="23">
        <f t="shared" si="162"/>
        <v>-100</v>
      </c>
      <c r="Z37" s="8"/>
      <c r="AA37" s="19">
        <f>AA36+AA35</f>
        <v>0</v>
      </c>
      <c r="AB37" s="6" t="s">
        <v>1</v>
      </c>
      <c r="AC37" s="9">
        <f>AC36+AC35</f>
        <v>0</v>
      </c>
      <c r="AD37" s="23" t="e">
        <f t="shared" si="163"/>
        <v>#DIV/0!</v>
      </c>
      <c r="AE37" s="23" t="e">
        <f>AB37*100/U37-100</f>
        <v>#DIV/0!</v>
      </c>
      <c r="AF37" s="23" t="e">
        <f t="shared" si="164"/>
        <v>#DIV/0!</v>
      </c>
      <c r="AG37" s="8"/>
      <c r="AH37" s="19">
        <f>AH36+AH35</f>
        <v>0</v>
      </c>
      <c r="AI37" s="6" t="s">
        <v>1</v>
      </c>
      <c r="AJ37" s="9">
        <f>AJ36+AJ35</f>
        <v>0</v>
      </c>
      <c r="AK37" s="23" t="e">
        <f t="shared" si="165"/>
        <v>#DIV/0!</v>
      </c>
      <c r="AL37" s="23" t="e">
        <f>AI37*100/AB37-100</f>
        <v>#DIV/0!</v>
      </c>
      <c r="AM37" s="23" t="e">
        <f t="shared" si="166"/>
        <v>#DIV/0!</v>
      </c>
      <c r="AN37" s="8"/>
      <c r="AO37" s="19">
        <f>AO36+AO35</f>
        <v>0</v>
      </c>
      <c r="AP37" s="6" t="s">
        <v>1</v>
      </c>
      <c r="AQ37" s="9">
        <f>AQ36+AQ35</f>
        <v>0</v>
      </c>
      <c r="AR37" s="23" t="e">
        <f t="shared" si="167"/>
        <v>#DIV/0!</v>
      </c>
      <c r="AS37" s="23" t="e">
        <f>AP37*100/AI37-100</f>
        <v>#DIV/0!</v>
      </c>
      <c r="AT37" s="23" t="e">
        <f t="shared" si="168"/>
        <v>#DIV/0!</v>
      </c>
      <c r="AU37" s="8"/>
      <c r="AV37" s="19">
        <f>AV36+AV35</f>
        <v>0</v>
      </c>
      <c r="AW37" s="6" t="s">
        <v>1</v>
      </c>
      <c r="AX37" s="9">
        <f>AX36+AX35</f>
        <v>0</v>
      </c>
      <c r="AY37" s="23" t="e">
        <f t="shared" si="169"/>
        <v>#DIV/0!</v>
      </c>
      <c r="AZ37" s="23" t="e">
        <f>AW37*100/AP37-100</f>
        <v>#DIV/0!</v>
      </c>
      <c r="BA37" s="23" t="e">
        <f t="shared" si="170"/>
        <v>#DIV/0!</v>
      </c>
      <c r="BB37" s="8"/>
      <c r="BC37" s="19">
        <f>BC36+BC35</f>
        <v>0</v>
      </c>
      <c r="BD37" s="6" t="s">
        <v>1</v>
      </c>
      <c r="BE37" s="9">
        <f>BE36+BE35</f>
        <v>0</v>
      </c>
      <c r="BF37" s="23" t="e">
        <f t="shared" si="171"/>
        <v>#DIV/0!</v>
      </c>
      <c r="BG37" s="23" t="e">
        <f>BD37*100/AW37-100</f>
        <v>#DIV/0!</v>
      </c>
      <c r="BH37" s="23" t="e">
        <f t="shared" si="172"/>
        <v>#DIV/0!</v>
      </c>
      <c r="BI37" s="8"/>
      <c r="BJ37" s="19">
        <f>BJ36+BJ35</f>
        <v>0</v>
      </c>
      <c r="BK37" s="6" t="s">
        <v>1</v>
      </c>
      <c r="BL37" s="9">
        <f>BL36+BL35</f>
        <v>0</v>
      </c>
      <c r="BM37" s="23" t="e">
        <f aca="true" t="shared" si="201" ref="BM37:BN40">BJ37*100/BC37-100</f>
        <v>#DIV/0!</v>
      </c>
      <c r="BN37" s="23" t="e">
        <f t="shared" si="201"/>
        <v>#DIV/0!</v>
      </c>
      <c r="BO37" s="23" t="e">
        <f t="shared" si="173"/>
        <v>#DIV/0!</v>
      </c>
      <c r="BP37" s="8"/>
      <c r="BQ37" s="19">
        <f>BQ36+BQ35</f>
        <v>0</v>
      </c>
      <c r="BR37" s="6" t="s">
        <v>1</v>
      </c>
      <c r="BS37" s="9">
        <f>BS36+BS35</f>
        <v>0</v>
      </c>
      <c r="BT37" s="23" t="e">
        <f aca="true" t="shared" si="202" ref="BT37:BU40">BQ37*100/BJ37-100</f>
        <v>#DIV/0!</v>
      </c>
      <c r="BU37" s="23" t="e">
        <f t="shared" si="202"/>
        <v>#DIV/0!</v>
      </c>
      <c r="BV37" s="23" t="e">
        <f t="shared" si="174"/>
        <v>#DIV/0!</v>
      </c>
      <c r="BW37" s="8"/>
      <c r="BX37" s="19">
        <f>BX36+BX35</f>
        <v>0</v>
      </c>
      <c r="BY37" s="6" t="s">
        <v>1</v>
      </c>
      <c r="BZ37" s="9">
        <f>BZ36+BZ35</f>
        <v>0</v>
      </c>
      <c r="CA37" s="23" t="e">
        <f t="shared" si="175"/>
        <v>#DIV/0!</v>
      </c>
      <c r="CB37" s="23" t="e">
        <f>BY37*100/BR37-100</f>
        <v>#DIV/0!</v>
      </c>
      <c r="CC37" s="23" t="e">
        <f t="shared" si="176"/>
        <v>#DIV/0!</v>
      </c>
      <c r="CD37" s="8"/>
      <c r="CE37" s="19">
        <f>CE36+CE35</f>
        <v>0</v>
      </c>
      <c r="CF37" s="6" t="s">
        <v>1</v>
      </c>
      <c r="CG37" s="9">
        <f>CG36+CG35</f>
        <v>0</v>
      </c>
      <c r="CH37" s="23" t="e">
        <f t="shared" si="177"/>
        <v>#DIV/0!</v>
      </c>
      <c r="CI37" s="23" t="e">
        <f>CF37*100/BY37-100</f>
        <v>#DIV/0!</v>
      </c>
      <c r="CJ37" s="23" t="e">
        <f t="shared" si="178"/>
        <v>#DIV/0!</v>
      </c>
      <c r="CK37" s="8"/>
      <c r="CL37" s="19">
        <f>CL36+CL35</f>
        <v>0</v>
      </c>
      <c r="CM37" s="6" t="s">
        <v>1</v>
      </c>
      <c r="CN37" s="9">
        <f>CN36+CN35</f>
        <v>0</v>
      </c>
      <c r="CO37" s="23" t="e">
        <f t="shared" si="179"/>
        <v>#DIV/0!</v>
      </c>
      <c r="CP37" s="23" t="e">
        <f>CM37*100/CF37-100</f>
        <v>#DIV/0!</v>
      </c>
      <c r="CQ37" s="23" t="e">
        <f t="shared" si="180"/>
        <v>#DIV/0!</v>
      </c>
      <c r="CR37" s="8"/>
      <c r="CS37" s="19">
        <f>CS36+CS35</f>
        <v>0</v>
      </c>
      <c r="CT37" s="6" t="s">
        <v>1</v>
      </c>
      <c r="CU37" s="9">
        <f>CU36+CU35</f>
        <v>0</v>
      </c>
      <c r="CV37" s="23" t="e">
        <f t="shared" si="181"/>
        <v>#DIV/0!</v>
      </c>
      <c r="CW37" s="23" t="e">
        <f>CT37*100/CM37-100</f>
        <v>#DIV/0!</v>
      </c>
      <c r="CX37" s="23" t="e">
        <f t="shared" si="182"/>
        <v>#DIV/0!</v>
      </c>
      <c r="CY37" s="8"/>
      <c r="CZ37" s="19">
        <f>CZ36+CZ35</f>
        <v>0</v>
      </c>
      <c r="DA37" s="6" t="s">
        <v>1</v>
      </c>
      <c r="DB37" s="9">
        <f>DB36+DB35</f>
        <v>0</v>
      </c>
      <c r="DC37" s="23" t="e">
        <f t="shared" si="183"/>
        <v>#DIV/0!</v>
      </c>
      <c r="DD37" s="23" t="e">
        <f>DA37*100/CT37-100</f>
        <v>#DIV/0!</v>
      </c>
      <c r="DE37" s="23" t="e">
        <f t="shared" si="184"/>
        <v>#DIV/0!</v>
      </c>
      <c r="DF37" s="8"/>
      <c r="DG37" s="19">
        <f>DG36+DG35</f>
        <v>0</v>
      </c>
      <c r="DH37" s="6" t="s">
        <v>1</v>
      </c>
      <c r="DI37" s="9">
        <f>DI36+DI35</f>
        <v>0</v>
      </c>
      <c r="DJ37" s="23" t="e">
        <f t="shared" si="185"/>
        <v>#DIV/0!</v>
      </c>
      <c r="DK37" s="23" t="e">
        <f>DH37*100/DA37-100</f>
        <v>#DIV/0!</v>
      </c>
      <c r="DL37" s="23" t="e">
        <f t="shared" si="186"/>
        <v>#DIV/0!</v>
      </c>
      <c r="DM37" s="8"/>
      <c r="DN37" s="19">
        <f>DN36+DN35</f>
        <v>0</v>
      </c>
      <c r="DO37" s="6" t="s">
        <v>1</v>
      </c>
      <c r="DP37" s="9">
        <f>DP36+DP35</f>
        <v>0</v>
      </c>
      <c r="DQ37" s="23" t="e">
        <f t="shared" si="187"/>
        <v>#DIV/0!</v>
      </c>
      <c r="DR37" s="23" t="e">
        <f>DO37*100/DH37-100</f>
        <v>#DIV/0!</v>
      </c>
      <c r="DS37" s="23" t="e">
        <f t="shared" si="188"/>
        <v>#DIV/0!</v>
      </c>
      <c r="DT37" s="8"/>
      <c r="DU37" s="19">
        <f>DU36+DU35</f>
        <v>0</v>
      </c>
      <c r="DV37" s="6" t="s">
        <v>1</v>
      </c>
      <c r="DW37" s="9">
        <f>DW36+DW35</f>
        <v>0</v>
      </c>
      <c r="DX37" s="23" t="e">
        <f t="shared" si="189"/>
        <v>#DIV/0!</v>
      </c>
      <c r="DY37" s="23" t="e">
        <f>DV37*100/DO37-100</f>
        <v>#DIV/0!</v>
      </c>
      <c r="DZ37" s="23" t="e">
        <f t="shared" si="190"/>
        <v>#DIV/0!</v>
      </c>
      <c r="EA37" s="8"/>
      <c r="EB37" s="19">
        <f>EB36+EB35</f>
        <v>1</v>
      </c>
      <c r="EC37" s="6" t="s">
        <v>1</v>
      </c>
      <c r="ED37" s="9">
        <f>ED36+ED35</f>
        <v>990</v>
      </c>
      <c r="EE37" s="23" t="e">
        <f t="shared" si="191"/>
        <v>#DIV/0!</v>
      </c>
      <c r="EF37" s="23" t="e">
        <f>EC37*100/DV37-100</f>
        <v>#DIV/0!</v>
      </c>
      <c r="EG37" s="23" t="e">
        <f t="shared" si="192"/>
        <v>#DIV/0!</v>
      </c>
      <c r="EH37" s="8"/>
      <c r="EI37" s="19">
        <f>EI36+EI35</f>
        <v>1.5</v>
      </c>
      <c r="EJ37" s="6" t="s">
        <v>1</v>
      </c>
      <c r="EK37" s="9">
        <f>EK36+EK35</f>
        <v>1350</v>
      </c>
      <c r="EL37" s="23">
        <f t="shared" si="193"/>
        <v>50</v>
      </c>
      <c r="EM37" s="23" t="e">
        <f>EJ37*100/EC37-100</f>
        <v>#DIV/0!</v>
      </c>
      <c r="EN37" s="23">
        <f t="shared" si="194"/>
        <v>36.363636363636374</v>
      </c>
      <c r="EO37" s="8"/>
      <c r="EP37" s="19">
        <f>EP36+EP35</f>
        <v>1.2</v>
      </c>
      <c r="EQ37" s="6">
        <f>ER37/EP37</f>
        <v>300</v>
      </c>
      <c r="ER37" s="9">
        <f>ER36+ER35</f>
        <v>360</v>
      </c>
      <c r="ES37" s="23">
        <f t="shared" si="195"/>
        <v>-20</v>
      </c>
      <c r="ET37" s="23" t="e">
        <f>EQ37*100/EJ37-100</f>
        <v>#DIV/0!</v>
      </c>
      <c r="EU37" s="23">
        <f t="shared" si="196"/>
        <v>-73.33333333333333</v>
      </c>
      <c r="EV37" s="8"/>
      <c r="EW37" s="36">
        <f>EW36+EW35</f>
        <v>1.4</v>
      </c>
      <c r="EX37" s="10">
        <f t="shared" si="197"/>
        <v>300</v>
      </c>
      <c r="EY37" s="11">
        <v>420</v>
      </c>
      <c r="EZ37" s="9">
        <f>EZ36+EZ35</f>
        <v>420</v>
      </c>
      <c r="FA37" s="23">
        <f t="shared" si="198"/>
        <v>16.66666666666667</v>
      </c>
      <c r="FB37" s="23">
        <f>EX37*100/EQ37-100</f>
        <v>0</v>
      </c>
      <c r="FC37" s="23">
        <f t="shared" si="199"/>
        <v>16.66666666666667</v>
      </c>
      <c r="FD37" s="8"/>
      <c r="FE37" s="19">
        <f>FE36+FE35</f>
        <v>1.5</v>
      </c>
      <c r="FF37" s="10">
        <f t="shared" si="200"/>
        <v>300</v>
      </c>
      <c r="FG37" s="9">
        <f>FG36+FG35</f>
        <v>450</v>
      </c>
      <c r="FH37" s="9">
        <f>FH36+FH35</f>
        <v>450</v>
      </c>
      <c r="FI37" s="23">
        <f aca="true" t="shared" si="203" ref="FI37:FI42">FE37*100/EW37-100</f>
        <v>7.142857142857153</v>
      </c>
      <c r="FJ37" s="23">
        <f aca="true" t="shared" si="204" ref="FJ37:FK46">FF37*100/EX37-100</f>
        <v>0</v>
      </c>
      <c r="FK37" s="23">
        <f t="shared" si="204"/>
        <v>7.142857142857139</v>
      </c>
      <c r="FL37" s="23">
        <f aca="true" t="shared" si="205" ref="FL37:FL42">FH37*100/EZ37-100</f>
        <v>7.142857142857139</v>
      </c>
      <c r="FM37" s="23"/>
      <c r="FN37" s="19">
        <f>FN36+FN35</f>
        <v>1.5</v>
      </c>
      <c r="FO37" s="6" t="s">
        <v>1</v>
      </c>
      <c r="FP37" s="9"/>
      <c r="FQ37" s="9">
        <f>FQ36+FQ35</f>
        <v>450</v>
      </c>
      <c r="FR37" s="23">
        <f aca="true" t="shared" si="206" ref="FR37:FS40">FN37*100/FE37-100</f>
        <v>0</v>
      </c>
      <c r="FS37" s="23">
        <f t="shared" si="206"/>
        <v>-100</v>
      </c>
      <c r="FT37" s="23">
        <f t="shared" si="53"/>
        <v>-100</v>
      </c>
      <c r="FU37" s="23">
        <f t="shared" si="53"/>
        <v>0</v>
      </c>
      <c r="FV37" s="23"/>
      <c r="FW37" s="19">
        <f>FW36+FW35</f>
        <v>275</v>
      </c>
      <c r="FX37" s="6" t="s">
        <v>1</v>
      </c>
      <c r="FY37" s="19">
        <f>FY36+FY35</f>
        <v>57750</v>
      </c>
      <c r="FZ37" s="19">
        <f>FZ36+FZ35</f>
        <v>57750</v>
      </c>
      <c r="GA37" s="23">
        <f aca="true" t="shared" si="207" ref="GA37:GD40">FW37*100/FN37-100</f>
        <v>18233.333333333332</v>
      </c>
      <c r="GB37" s="23" t="e">
        <f t="shared" si="207"/>
        <v>#DIV/0!</v>
      </c>
      <c r="GC37" s="23" t="e">
        <f t="shared" si="207"/>
        <v>#DIV/0!</v>
      </c>
      <c r="GD37" s="23">
        <f t="shared" si="207"/>
        <v>12733.333333333334</v>
      </c>
      <c r="GE37" s="23"/>
      <c r="GF37" s="19">
        <f>GF36+GF35</f>
        <v>165</v>
      </c>
      <c r="GG37" s="6" t="s">
        <v>1</v>
      </c>
      <c r="GH37" s="19">
        <f>GH36+GH35</f>
        <v>39800</v>
      </c>
      <c r="GI37" s="19">
        <f>GI36+GI35</f>
        <v>39800</v>
      </c>
      <c r="GJ37" s="23">
        <f aca="true" t="shared" si="208" ref="GJ37:GK46">GF37*100/FW37-100</f>
        <v>-40</v>
      </c>
      <c r="GK37" s="23" t="e">
        <f t="shared" si="208"/>
        <v>#DIV/0!</v>
      </c>
      <c r="GL37" s="23">
        <f t="shared" si="57"/>
        <v>-31.082251082251076</v>
      </c>
      <c r="GM37" s="23">
        <f t="shared" si="57"/>
        <v>-31.082251082251076</v>
      </c>
      <c r="GN37" s="23"/>
      <c r="GO37" s="19">
        <f>GO36+GO35</f>
        <v>203</v>
      </c>
      <c r="GP37" s="6" t="s">
        <v>1</v>
      </c>
      <c r="GQ37" s="19">
        <f>GQ36+GQ35</f>
        <v>46690</v>
      </c>
      <c r="GR37" s="19">
        <f>GR36+GR35</f>
        <v>46690</v>
      </c>
      <c r="GS37" s="23">
        <f aca="true" t="shared" si="209" ref="GS37:GT53">GO37*100/GF37-100</f>
        <v>23.03030303030303</v>
      </c>
      <c r="GT37" s="23" t="e">
        <f t="shared" si="209"/>
        <v>#DIV/0!</v>
      </c>
      <c r="GU37" s="23">
        <f t="shared" si="59"/>
        <v>17.311557788944725</v>
      </c>
      <c r="GV37" s="23">
        <f t="shared" si="60"/>
        <v>17.311557788944725</v>
      </c>
      <c r="GW37" s="23"/>
      <c r="GX37" s="19">
        <f>GX36+GX35</f>
        <v>197.2</v>
      </c>
      <c r="GY37" s="6" t="s">
        <v>1</v>
      </c>
      <c r="GZ37" s="19">
        <f>GZ36+GZ35</f>
        <v>52520</v>
      </c>
      <c r="HA37" s="19">
        <f>HA36+HA35</f>
        <v>52520</v>
      </c>
      <c r="HB37" s="23">
        <f aca="true" t="shared" si="210" ref="HB37:HB56">GX37*100/GO37-100</f>
        <v>-2.857142857142861</v>
      </c>
      <c r="HC37" s="23" t="e">
        <f>GY37*100/GP37-100</f>
        <v>#DIV/0!</v>
      </c>
      <c r="HD37" s="23">
        <f t="shared" si="62"/>
        <v>12.486613835939167</v>
      </c>
      <c r="HE37" s="23">
        <f t="shared" si="63"/>
        <v>12.486613835939167</v>
      </c>
      <c r="HF37" s="23"/>
      <c r="HG37" s="19">
        <f>HG36+HG35</f>
        <v>172</v>
      </c>
      <c r="HH37" s="6" t="s">
        <v>1</v>
      </c>
      <c r="HI37" s="19">
        <f>HI36+HI35</f>
        <v>49000</v>
      </c>
      <c r="HJ37" s="19">
        <f>HJ36+HJ35</f>
        <v>49000</v>
      </c>
      <c r="HK37" s="23">
        <f aca="true" t="shared" si="211" ref="HK37:HK56">HG37*100/GX37-100</f>
        <v>-12.7789046653144</v>
      </c>
      <c r="HL37" s="23" t="e">
        <f>HH37*100/GY37-100</f>
        <v>#DIV/0!</v>
      </c>
      <c r="HM37" s="23">
        <f t="shared" si="105"/>
        <v>-6.702208682406706</v>
      </c>
      <c r="HN37" s="23">
        <f t="shared" si="106"/>
        <v>-6.702208682406706</v>
      </c>
      <c r="HO37" s="23"/>
      <c r="HP37" s="19">
        <f>HP36+HP35</f>
        <v>361.9</v>
      </c>
      <c r="HQ37" s="6" t="s">
        <v>1</v>
      </c>
      <c r="HR37" s="19">
        <f>HR36+HR35</f>
        <v>104960</v>
      </c>
      <c r="HS37" s="19">
        <f>HS36+HS35</f>
        <v>104960</v>
      </c>
      <c r="HT37" s="23">
        <f aca="true" t="shared" si="212" ref="HT37:HT56">HP37*100/HG37-100</f>
        <v>110.40697674418604</v>
      </c>
      <c r="HU37" s="23" t="e">
        <f>HQ37*100/HH37-100</f>
        <v>#DIV/0!</v>
      </c>
      <c r="HV37" s="23">
        <f t="shared" si="64"/>
        <v>114.20408163265307</v>
      </c>
      <c r="HW37" s="23">
        <f t="shared" si="65"/>
        <v>114.20408163265307</v>
      </c>
      <c r="HX37" s="23"/>
      <c r="HY37" s="19">
        <f>HY36+HY35</f>
        <v>0</v>
      </c>
      <c r="HZ37" s="6" t="s">
        <v>1</v>
      </c>
      <c r="IA37" s="19">
        <f>IA36+IA35</f>
        <v>0</v>
      </c>
      <c r="IB37" s="19">
        <f>IB36+IB35</f>
        <v>0</v>
      </c>
      <c r="IC37" s="23">
        <f aca="true" t="shared" si="213" ref="IC37:IC49">HY37*100/HP37-100</f>
        <v>-100</v>
      </c>
      <c r="ID37" s="23" t="e">
        <f>HZ37*100/HQ37-100</f>
        <v>#DIV/0!</v>
      </c>
      <c r="IE37" s="23">
        <f t="shared" si="42"/>
        <v>-100</v>
      </c>
      <c r="IF37" s="23">
        <f t="shared" si="43"/>
        <v>-100</v>
      </c>
      <c r="IG37" s="23"/>
      <c r="IH37" s="1" t="s">
        <v>34</v>
      </c>
      <c r="II37" s="29">
        <f t="shared" si="44"/>
        <v>101.92999999999999</v>
      </c>
      <c r="IJ37" s="30">
        <f t="shared" si="45"/>
        <v>300</v>
      </c>
      <c r="IK37" s="29">
        <f t="shared" si="46"/>
        <v>24879</v>
      </c>
      <c r="IL37" s="25">
        <f t="shared" si="47"/>
        <v>255.04758167369766</v>
      </c>
      <c r="IM37" s="25">
        <f t="shared" si="48"/>
        <v>-100</v>
      </c>
      <c r="IN37" s="25">
        <f t="shared" si="49"/>
        <v>321.8819084368343</v>
      </c>
      <c r="IP37" s="30">
        <f>HP37*100/Italia!BR37</f>
        <v>37.23864010536714</v>
      </c>
      <c r="IQ37" s="30">
        <f>HR37*100/Italia!BT37</f>
        <v>50.2843345326326</v>
      </c>
      <c r="IR37" s="30">
        <f>HS37*100/Italia!BU37</f>
        <v>50.60532570910616</v>
      </c>
    </row>
    <row r="38" spans="1:252" ht="12">
      <c r="A38" s="1" t="s">
        <v>35</v>
      </c>
      <c r="B38" s="20"/>
      <c r="C38" s="10"/>
      <c r="D38" s="11"/>
      <c r="E38" s="11"/>
      <c r="F38" s="20"/>
      <c r="G38" s="10"/>
      <c r="H38" s="11"/>
      <c r="I38" s="23" t="e">
        <f>F38*100/B38-100</f>
        <v>#DIV/0!</v>
      </c>
      <c r="J38" s="23" t="e">
        <f>G38*100/C38-100</f>
        <v>#DIV/0!</v>
      </c>
      <c r="K38" s="23" t="e">
        <f>H38*100/D38-100</f>
        <v>#DIV/0!</v>
      </c>
      <c r="L38" s="8"/>
      <c r="M38" s="20"/>
      <c r="N38" s="10"/>
      <c r="O38" s="11"/>
      <c r="P38" s="23" t="e">
        <f>M38*100/F38-100</f>
        <v>#DIV/0!</v>
      </c>
      <c r="Q38" s="23" t="e">
        <f>N38*100/G38-100</f>
        <v>#DIV/0!</v>
      </c>
      <c r="R38" s="23" t="e">
        <f>O38*100/H38-100</f>
        <v>#DIV/0!</v>
      </c>
      <c r="S38" s="8"/>
      <c r="T38" s="20"/>
      <c r="U38" s="10"/>
      <c r="V38" s="11"/>
      <c r="W38" s="23" t="e">
        <f t="shared" si="161"/>
        <v>#DIV/0!</v>
      </c>
      <c r="X38" s="23" t="e">
        <f>U38*100/N38-100</f>
        <v>#DIV/0!</v>
      </c>
      <c r="Y38" s="23" t="e">
        <f t="shared" si="162"/>
        <v>#DIV/0!</v>
      </c>
      <c r="Z38" s="8"/>
      <c r="AA38" s="20"/>
      <c r="AB38" s="10"/>
      <c r="AC38" s="11"/>
      <c r="AD38" s="23" t="e">
        <f t="shared" si="163"/>
        <v>#DIV/0!</v>
      </c>
      <c r="AE38" s="23" t="e">
        <f>AB38*100/U38-100</f>
        <v>#DIV/0!</v>
      </c>
      <c r="AF38" s="23" t="e">
        <f t="shared" si="164"/>
        <v>#DIV/0!</v>
      </c>
      <c r="AG38" s="8"/>
      <c r="AH38" s="20"/>
      <c r="AI38" s="10"/>
      <c r="AJ38" s="11"/>
      <c r="AK38" s="23" t="e">
        <f t="shared" si="165"/>
        <v>#DIV/0!</v>
      </c>
      <c r="AL38" s="23" t="e">
        <f>AI38*100/AB38-100</f>
        <v>#DIV/0!</v>
      </c>
      <c r="AM38" s="23" t="e">
        <f t="shared" si="166"/>
        <v>#DIV/0!</v>
      </c>
      <c r="AN38" s="8"/>
      <c r="AO38" s="20"/>
      <c r="AP38" s="10"/>
      <c r="AQ38" s="11"/>
      <c r="AR38" s="23" t="e">
        <f t="shared" si="167"/>
        <v>#DIV/0!</v>
      </c>
      <c r="AS38" s="23" t="e">
        <f>AP38*100/AI38-100</f>
        <v>#DIV/0!</v>
      </c>
      <c r="AT38" s="23" t="e">
        <f t="shared" si="168"/>
        <v>#DIV/0!</v>
      </c>
      <c r="AU38" s="8"/>
      <c r="AV38" s="20"/>
      <c r="AW38" s="10"/>
      <c r="AX38" s="11"/>
      <c r="AY38" s="23" t="e">
        <f t="shared" si="169"/>
        <v>#DIV/0!</v>
      </c>
      <c r="AZ38" s="23" t="e">
        <f>AW38*100/AP38-100</f>
        <v>#DIV/0!</v>
      </c>
      <c r="BA38" s="23" t="e">
        <f t="shared" si="170"/>
        <v>#DIV/0!</v>
      </c>
      <c r="BB38" s="8"/>
      <c r="BC38" s="20"/>
      <c r="BD38" s="10"/>
      <c r="BE38" s="11"/>
      <c r="BF38" s="23" t="e">
        <f t="shared" si="171"/>
        <v>#DIV/0!</v>
      </c>
      <c r="BG38" s="23" t="e">
        <f>BD38*100/AW38-100</f>
        <v>#DIV/0!</v>
      </c>
      <c r="BH38" s="23" t="e">
        <f t="shared" si="172"/>
        <v>#DIV/0!</v>
      </c>
      <c r="BI38" s="8"/>
      <c r="BJ38" s="20"/>
      <c r="BK38" s="10"/>
      <c r="BL38" s="11"/>
      <c r="BM38" s="23" t="e">
        <f t="shared" si="201"/>
        <v>#DIV/0!</v>
      </c>
      <c r="BN38" s="23" t="e">
        <f t="shared" si="201"/>
        <v>#DIV/0!</v>
      </c>
      <c r="BO38" s="23" t="e">
        <f t="shared" si="173"/>
        <v>#DIV/0!</v>
      </c>
      <c r="BP38" s="8"/>
      <c r="BQ38" s="20"/>
      <c r="BR38" s="10"/>
      <c r="BS38" s="11"/>
      <c r="BT38" s="23" t="e">
        <f t="shared" si="202"/>
        <v>#DIV/0!</v>
      </c>
      <c r="BU38" s="23" t="e">
        <f t="shared" si="202"/>
        <v>#DIV/0!</v>
      </c>
      <c r="BV38" s="23" t="e">
        <f t="shared" si="174"/>
        <v>#DIV/0!</v>
      </c>
      <c r="BW38" s="8"/>
      <c r="BX38" s="20"/>
      <c r="BY38" s="10"/>
      <c r="BZ38" s="11"/>
      <c r="CA38" s="23" t="e">
        <f t="shared" si="175"/>
        <v>#DIV/0!</v>
      </c>
      <c r="CB38" s="23" t="e">
        <f>BY38*100/BR38-100</f>
        <v>#DIV/0!</v>
      </c>
      <c r="CC38" s="23" t="e">
        <f t="shared" si="176"/>
        <v>#DIV/0!</v>
      </c>
      <c r="CD38" s="8"/>
      <c r="CE38" s="20"/>
      <c r="CF38" s="10"/>
      <c r="CG38" s="11"/>
      <c r="CH38" s="23" t="e">
        <f t="shared" si="177"/>
        <v>#DIV/0!</v>
      </c>
      <c r="CI38" s="23" t="e">
        <f>CF38*100/BY38-100</f>
        <v>#DIV/0!</v>
      </c>
      <c r="CJ38" s="23" t="e">
        <f t="shared" si="178"/>
        <v>#DIV/0!</v>
      </c>
      <c r="CK38" s="8"/>
      <c r="CL38" s="20"/>
      <c r="CM38" s="10"/>
      <c r="CN38" s="11"/>
      <c r="CO38" s="23" t="e">
        <f t="shared" si="179"/>
        <v>#DIV/0!</v>
      </c>
      <c r="CP38" s="23" t="e">
        <f>CM38*100/CF38-100</f>
        <v>#DIV/0!</v>
      </c>
      <c r="CQ38" s="23" t="e">
        <f t="shared" si="180"/>
        <v>#DIV/0!</v>
      </c>
      <c r="CR38" s="8"/>
      <c r="CS38" s="20">
        <v>11.1</v>
      </c>
      <c r="CT38" s="10">
        <f>CU38/CS38</f>
        <v>195.4954954954955</v>
      </c>
      <c r="CU38" s="11">
        <v>2170</v>
      </c>
      <c r="CV38" s="23" t="e">
        <f t="shared" si="181"/>
        <v>#DIV/0!</v>
      </c>
      <c r="CW38" s="23" t="e">
        <f>CT38*100/CM38-100</f>
        <v>#DIV/0!</v>
      </c>
      <c r="CX38" s="23" t="e">
        <f t="shared" si="182"/>
        <v>#DIV/0!</v>
      </c>
      <c r="CY38" s="8"/>
      <c r="CZ38" s="20">
        <v>11.1</v>
      </c>
      <c r="DA38" s="10">
        <f>DB38/CZ38</f>
        <v>195.4954954954955</v>
      </c>
      <c r="DB38" s="11">
        <v>2170</v>
      </c>
      <c r="DC38" s="23">
        <f t="shared" si="183"/>
        <v>0</v>
      </c>
      <c r="DD38" s="23">
        <f>DA38*100/CT38-100</f>
        <v>0</v>
      </c>
      <c r="DE38" s="23">
        <f t="shared" si="184"/>
        <v>0</v>
      </c>
      <c r="DF38" s="8"/>
      <c r="DG38" s="20">
        <v>12.1</v>
      </c>
      <c r="DH38" s="10">
        <f>DI38/DG38</f>
        <v>195.86776859504133</v>
      </c>
      <c r="DI38" s="11">
        <v>2370</v>
      </c>
      <c r="DJ38" s="23">
        <f t="shared" si="185"/>
        <v>9.009009009009006</v>
      </c>
      <c r="DK38" s="23">
        <f>DH38*100/DA38-100</f>
        <v>0.19042541036677108</v>
      </c>
      <c r="DL38" s="23">
        <f t="shared" si="186"/>
        <v>9.216589861751146</v>
      </c>
      <c r="DM38" s="8"/>
      <c r="DN38" s="20">
        <v>12.3</v>
      </c>
      <c r="DO38" s="10">
        <f>DP38/DN38</f>
        <v>195.9349593495935</v>
      </c>
      <c r="DP38" s="11">
        <v>2410</v>
      </c>
      <c r="DQ38" s="23">
        <f t="shared" si="187"/>
        <v>1.652892561983478</v>
      </c>
      <c r="DR38" s="23">
        <f>DO38*100/DH38-100</f>
        <v>0.03430414050974662</v>
      </c>
      <c r="DS38" s="23">
        <f t="shared" si="188"/>
        <v>1.687763713080173</v>
      </c>
      <c r="DT38" s="8"/>
      <c r="DU38" s="20">
        <v>12.2</v>
      </c>
      <c r="DV38" s="10">
        <f>DW38/DU38</f>
        <v>215.5737704918033</v>
      </c>
      <c r="DW38" s="11">
        <v>2630</v>
      </c>
      <c r="DX38" s="23">
        <f t="shared" si="189"/>
        <v>-0.8130081300813004</v>
      </c>
      <c r="DY38" s="23">
        <f>DV38*100/DO38-100</f>
        <v>10.02312767838923</v>
      </c>
      <c r="DZ38" s="23">
        <f t="shared" si="190"/>
        <v>9.128630705394187</v>
      </c>
      <c r="EA38" s="8"/>
      <c r="EB38" s="20">
        <v>13.2</v>
      </c>
      <c r="EC38" s="10">
        <f>2830/EB38</f>
        <v>214.3939393939394</v>
      </c>
      <c r="ED38" s="11">
        <v>2830</v>
      </c>
      <c r="EE38" s="23">
        <f t="shared" si="191"/>
        <v>8.196721311475414</v>
      </c>
      <c r="EF38" s="23">
        <f>EC38*100/DV38-100</f>
        <v>-0.547298075815192</v>
      </c>
      <c r="EG38" s="23">
        <f t="shared" si="192"/>
        <v>7.604562737642581</v>
      </c>
      <c r="EH38" s="8"/>
      <c r="EI38" s="20">
        <v>12.83</v>
      </c>
      <c r="EJ38" s="10">
        <f>EK38/EI38</f>
        <v>210.60015588464537</v>
      </c>
      <c r="EK38" s="11">
        <v>2702</v>
      </c>
      <c r="EL38" s="23">
        <f t="shared" si="193"/>
        <v>-2.8030303030302974</v>
      </c>
      <c r="EM38" s="23">
        <f>EJ38*100/EC38-100</f>
        <v>-1.769538597974588</v>
      </c>
      <c r="EN38" s="23">
        <f t="shared" si="194"/>
        <v>-4.522968197879862</v>
      </c>
      <c r="EO38" s="8"/>
      <c r="EP38" s="20">
        <v>42.15</v>
      </c>
      <c r="EQ38" s="10">
        <f>ER38/EP38</f>
        <v>212.69276393831555</v>
      </c>
      <c r="ER38" s="11">
        <v>8965</v>
      </c>
      <c r="ES38" s="23">
        <f t="shared" si="195"/>
        <v>228.52689010132502</v>
      </c>
      <c r="ET38" s="23">
        <f>EQ38*100/EJ38-100</f>
        <v>0.993640315639837</v>
      </c>
      <c r="EU38" s="23">
        <f t="shared" si="196"/>
        <v>231.79126572908956</v>
      </c>
      <c r="EV38" s="8"/>
      <c r="EW38" s="22">
        <v>41.8</v>
      </c>
      <c r="EX38" s="10">
        <f t="shared" si="197"/>
        <v>211.244019138756</v>
      </c>
      <c r="EY38" s="11">
        <v>8830</v>
      </c>
      <c r="EZ38" s="11">
        <v>8830</v>
      </c>
      <c r="FA38" s="23">
        <f t="shared" si="198"/>
        <v>-0.8303677342823192</v>
      </c>
      <c r="FB38" s="23">
        <f>EX38*100/EQ38-100</f>
        <v>-0.6811443759223152</v>
      </c>
      <c r="FC38" s="23">
        <f t="shared" si="199"/>
        <v>-1.5058561070831047</v>
      </c>
      <c r="FD38" s="8"/>
      <c r="FE38" s="22">
        <v>42.8</v>
      </c>
      <c r="FF38" s="10">
        <f t="shared" si="200"/>
        <v>196.9626168224299</v>
      </c>
      <c r="FG38" s="11">
        <v>8430</v>
      </c>
      <c r="FH38" s="11">
        <v>8430</v>
      </c>
      <c r="FI38" s="23">
        <f t="shared" si="203"/>
        <v>2.3923444976076667</v>
      </c>
      <c r="FJ38" s="23">
        <f t="shared" si="204"/>
        <v>-6.760618537060353</v>
      </c>
      <c r="FK38" s="23">
        <f t="shared" si="204"/>
        <v>-4.530011325028312</v>
      </c>
      <c r="FL38" s="23">
        <f t="shared" si="205"/>
        <v>-4.530011325028312</v>
      </c>
      <c r="FM38" s="23"/>
      <c r="FN38" s="22">
        <v>42.8</v>
      </c>
      <c r="FO38" s="10">
        <f>FP38/FN38</f>
        <v>196.9626168224299</v>
      </c>
      <c r="FP38" s="11">
        <v>8430</v>
      </c>
      <c r="FQ38" s="11">
        <v>8430</v>
      </c>
      <c r="FR38" s="23">
        <f t="shared" si="206"/>
        <v>0</v>
      </c>
      <c r="FS38" s="23">
        <f t="shared" si="206"/>
        <v>0</v>
      </c>
      <c r="FT38" s="23">
        <f t="shared" si="53"/>
        <v>0</v>
      </c>
      <c r="FU38" s="23">
        <f t="shared" si="53"/>
        <v>0</v>
      </c>
      <c r="FV38" s="23"/>
      <c r="FW38" s="22">
        <v>43.8</v>
      </c>
      <c r="FX38" s="10">
        <f>FY38/FW38</f>
        <v>197.03196347031965</v>
      </c>
      <c r="FY38" s="20">
        <v>8630</v>
      </c>
      <c r="FZ38" s="20">
        <v>8630</v>
      </c>
      <c r="GA38" s="23">
        <f t="shared" si="207"/>
        <v>2.3364485981308434</v>
      </c>
      <c r="GB38" s="23">
        <f t="shared" si="207"/>
        <v>0.03520802526311684</v>
      </c>
      <c r="GC38" s="23">
        <f t="shared" si="207"/>
        <v>2.3724792408066406</v>
      </c>
      <c r="GD38" s="23">
        <f t="shared" si="207"/>
        <v>2.3724792408066406</v>
      </c>
      <c r="GE38" s="23"/>
      <c r="GF38" s="22">
        <v>41.11</v>
      </c>
      <c r="GG38" s="10">
        <f>GH38/GF38</f>
        <v>196.08367793724156</v>
      </c>
      <c r="GH38" s="20">
        <v>8061</v>
      </c>
      <c r="GI38" s="20">
        <v>8061</v>
      </c>
      <c r="GJ38" s="23">
        <f t="shared" si="208"/>
        <v>-6.141552511415526</v>
      </c>
      <c r="GK38" s="23">
        <f t="shared" si="208"/>
        <v>-0.48128512571055637</v>
      </c>
      <c r="GL38" s="23">
        <f t="shared" si="57"/>
        <v>-6.593279258400926</v>
      </c>
      <c r="GM38" s="23">
        <f t="shared" si="57"/>
        <v>-6.593279258400926</v>
      </c>
      <c r="GN38" s="23"/>
      <c r="GO38" s="22">
        <v>39.1</v>
      </c>
      <c r="GP38" s="10">
        <f>GQ38/GO38</f>
        <v>195.9079283887468</v>
      </c>
      <c r="GQ38" s="20">
        <v>7660</v>
      </c>
      <c r="GR38" s="20">
        <v>7660</v>
      </c>
      <c r="GS38" s="23">
        <f t="shared" si="209"/>
        <v>-4.8893213330089935</v>
      </c>
      <c r="GT38" s="23">
        <f t="shared" si="209"/>
        <v>-0.08962987146283297</v>
      </c>
      <c r="GU38" s="23">
        <f t="shared" si="59"/>
        <v>-4.974568912045655</v>
      </c>
      <c r="GV38" s="23">
        <f t="shared" si="60"/>
        <v>-4.974568912045655</v>
      </c>
      <c r="GW38" s="23"/>
      <c r="GX38" s="22">
        <v>31.4</v>
      </c>
      <c r="GY38" s="10">
        <f>GZ38/GX38</f>
        <v>193.94904458598728</v>
      </c>
      <c r="GZ38" s="20">
        <v>6090</v>
      </c>
      <c r="HA38" s="20">
        <v>6090</v>
      </c>
      <c r="HB38" s="23">
        <f t="shared" si="210"/>
        <v>-19.693094629156008</v>
      </c>
      <c r="HC38" s="23">
        <f>GY38*100/GP38-100</f>
        <v>-0.9999002178576575</v>
      </c>
      <c r="HD38" s="23">
        <f t="shared" si="62"/>
        <v>-20.496083550913838</v>
      </c>
      <c r="HE38" s="23">
        <f t="shared" si="63"/>
        <v>-20.496083550913838</v>
      </c>
      <c r="HF38" s="23"/>
      <c r="HG38" s="22">
        <v>32.2</v>
      </c>
      <c r="HH38" s="10">
        <f>HI38/HG38</f>
        <v>194.56521739130434</v>
      </c>
      <c r="HI38" s="20">
        <v>6265</v>
      </c>
      <c r="HJ38" s="20">
        <v>6255</v>
      </c>
      <c r="HK38" s="23">
        <f t="shared" si="211"/>
        <v>2.54777070063696</v>
      </c>
      <c r="HL38" s="23">
        <f>HH38*100/GY38-100</f>
        <v>0.31769829371027924</v>
      </c>
      <c r="HM38" s="23">
        <f t="shared" si="105"/>
        <v>2.8735632183907995</v>
      </c>
      <c r="HN38" s="23">
        <f t="shared" si="106"/>
        <v>2.709359605911331</v>
      </c>
      <c r="HO38" s="23"/>
      <c r="HP38" s="22">
        <v>16.95</v>
      </c>
      <c r="HQ38" s="10">
        <f>HR38/HP38</f>
        <v>189.6755162241888</v>
      </c>
      <c r="HR38" s="20">
        <v>3215</v>
      </c>
      <c r="HS38" s="20">
        <v>3215</v>
      </c>
      <c r="HT38" s="23">
        <f t="shared" si="212"/>
        <v>-47.360248447204974</v>
      </c>
      <c r="HU38" s="23">
        <f>HQ38*100/HH38-100</f>
        <v>-2.5131424992996045</v>
      </c>
      <c r="HV38" s="23">
        <f t="shared" si="64"/>
        <v>-48.68316041500399</v>
      </c>
      <c r="HW38" s="23">
        <f t="shared" si="65"/>
        <v>-48.601119104716226</v>
      </c>
      <c r="HX38" s="23"/>
      <c r="HY38" s="22"/>
      <c r="HZ38" s="10" t="e">
        <f>IA38/HY38</f>
        <v>#DIV/0!</v>
      </c>
      <c r="IA38" s="20"/>
      <c r="IB38" s="20"/>
      <c r="IC38" s="23">
        <f t="shared" si="213"/>
        <v>-100</v>
      </c>
      <c r="ID38" s="23" t="e">
        <f>HZ38*100/HQ38-100</f>
        <v>#DIV/0!</v>
      </c>
      <c r="IE38" s="23">
        <f t="shared" si="42"/>
        <v>-100</v>
      </c>
      <c r="IF38" s="23">
        <f t="shared" si="43"/>
        <v>-100</v>
      </c>
      <c r="IG38" s="23"/>
      <c r="IH38" s="1" t="s">
        <v>35</v>
      </c>
      <c r="II38" s="29">
        <f t="shared" si="44"/>
        <v>36.999</v>
      </c>
      <c r="IJ38" s="30">
        <f t="shared" si="45"/>
        <v>200.60000043801762</v>
      </c>
      <c r="IK38" s="29">
        <f t="shared" si="46"/>
        <v>7405.3</v>
      </c>
      <c r="IL38" s="25">
        <f t="shared" si="47"/>
        <v>-54.1879510257034</v>
      </c>
      <c r="IM38" s="25">
        <f t="shared" si="48"/>
        <v>-5.445904381841871</v>
      </c>
      <c r="IN38" s="25">
        <f t="shared" si="49"/>
        <v>-56.58514847474107</v>
      </c>
      <c r="IP38" s="30">
        <f>HP38*100/Italia!BR38</f>
        <v>11.089303238469087</v>
      </c>
      <c r="IQ38" s="30">
        <f>HR38*100/Italia!BT38</f>
        <v>10.574614347268362</v>
      </c>
      <c r="IR38" s="30">
        <f>HS38*100/Italia!BU38</f>
        <v>10.739219026622575</v>
      </c>
    </row>
    <row r="39" spans="1:252" ht="12">
      <c r="A39" s="1" t="s">
        <v>36</v>
      </c>
      <c r="B39" s="20">
        <v>260</v>
      </c>
      <c r="C39" s="10">
        <v>381.5</v>
      </c>
      <c r="D39" s="11">
        <v>97300</v>
      </c>
      <c r="E39" s="9"/>
      <c r="F39" s="20">
        <v>224</v>
      </c>
      <c r="G39" s="10">
        <v>379.2</v>
      </c>
      <c r="H39" s="11">
        <v>85000</v>
      </c>
      <c r="I39" s="23">
        <f>F40*100/B39-100</f>
        <v>-91.1423076923077</v>
      </c>
      <c r="J39" s="23">
        <f>G40*100/C39-100</f>
        <v>25.268676277850588</v>
      </c>
      <c r="K39" s="23">
        <f>H40*100/D39-100</f>
        <v>-88.76361767728675</v>
      </c>
      <c r="L39" s="8"/>
      <c r="M39" s="20">
        <v>270</v>
      </c>
      <c r="N39" s="10">
        <v>392</v>
      </c>
      <c r="O39" s="11">
        <v>105800</v>
      </c>
      <c r="P39" s="23">
        <f>M39*100/F40-100</f>
        <v>1072.3838471558836</v>
      </c>
      <c r="Q39" s="23">
        <f>N39*100/G40-100</f>
        <v>-17.974471646788032</v>
      </c>
      <c r="R39" s="23">
        <f>O39*100/H40-100</f>
        <v>867.7124302570201</v>
      </c>
      <c r="S39" s="8"/>
      <c r="T39" s="20">
        <v>234</v>
      </c>
      <c r="U39" s="10">
        <v>395.7</v>
      </c>
      <c r="V39" s="11">
        <v>88500</v>
      </c>
      <c r="W39" s="23">
        <f t="shared" si="161"/>
        <v>-13.333333333333329</v>
      </c>
      <c r="X39" s="23">
        <f>U39*100/N39-100</f>
        <v>0.9438775510204067</v>
      </c>
      <c r="Y39" s="23">
        <f t="shared" si="162"/>
        <v>-16.351606805293002</v>
      </c>
      <c r="Z39" s="8"/>
      <c r="AA39" s="20">
        <v>228</v>
      </c>
      <c r="AB39" s="10">
        <v>402.8</v>
      </c>
      <c r="AC39" s="11">
        <v>78600</v>
      </c>
      <c r="AD39" s="23">
        <f t="shared" si="163"/>
        <v>-2.564102564102569</v>
      </c>
      <c r="AE39" s="23">
        <f>AB39*100/U39-100</f>
        <v>1.7942886024766267</v>
      </c>
      <c r="AF39" s="23">
        <f t="shared" si="164"/>
        <v>-11.186440677966104</v>
      </c>
      <c r="AG39" s="8"/>
      <c r="AH39" s="20">
        <v>229</v>
      </c>
      <c r="AI39" s="10">
        <v>385.7</v>
      </c>
      <c r="AJ39" s="11">
        <v>86200</v>
      </c>
      <c r="AK39" s="23">
        <f t="shared" si="165"/>
        <v>0.43859649122806843</v>
      </c>
      <c r="AL39" s="23">
        <f>AI39*100/AB39-100</f>
        <v>-4.245283018867923</v>
      </c>
      <c r="AM39" s="23">
        <f t="shared" si="166"/>
        <v>9.669211195928753</v>
      </c>
      <c r="AN39" s="8"/>
      <c r="AO39" s="20">
        <v>229</v>
      </c>
      <c r="AP39" s="10">
        <v>375.6</v>
      </c>
      <c r="AQ39" s="11">
        <v>84400</v>
      </c>
      <c r="AR39" s="23">
        <f t="shared" si="167"/>
        <v>0</v>
      </c>
      <c r="AS39" s="23">
        <f>AP39*100/AI39-100</f>
        <v>-2.6186155042779404</v>
      </c>
      <c r="AT39" s="23">
        <f t="shared" si="168"/>
        <v>-2.0881670533642733</v>
      </c>
      <c r="AU39" s="8"/>
      <c r="AV39" s="20">
        <v>235</v>
      </c>
      <c r="AW39" s="10">
        <v>444.9</v>
      </c>
      <c r="AX39" s="11">
        <v>102155</v>
      </c>
      <c r="AY39" s="23">
        <f t="shared" si="169"/>
        <v>2.620087336244538</v>
      </c>
      <c r="AZ39" s="23">
        <f>AW39*100/AP39-100</f>
        <v>18.45047923322683</v>
      </c>
      <c r="BA39" s="23">
        <f t="shared" si="170"/>
        <v>21.036729857819907</v>
      </c>
      <c r="BB39" s="8"/>
      <c r="BC39" s="20">
        <v>235</v>
      </c>
      <c r="BD39" s="10">
        <v>438.4</v>
      </c>
      <c r="BE39" s="11">
        <v>101029</v>
      </c>
      <c r="BF39" s="23">
        <f t="shared" si="171"/>
        <v>0</v>
      </c>
      <c r="BG39" s="23">
        <f>BD39*100/AW39-100</f>
        <v>-1.4610024724657222</v>
      </c>
      <c r="BH39" s="23">
        <f t="shared" si="172"/>
        <v>-1.1022465860701942</v>
      </c>
      <c r="BI39" s="8"/>
      <c r="BJ39" s="20">
        <v>241</v>
      </c>
      <c r="BK39" s="10">
        <v>392.32</v>
      </c>
      <c r="BL39" s="11">
        <v>93106</v>
      </c>
      <c r="BM39" s="23">
        <f t="shared" si="201"/>
        <v>2.5531914893617085</v>
      </c>
      <c r="BN39" s="23">
        <f t="shared" si="201"/>
        <v>-10.510948905109487</v>
      </c>
      <c r="BO39" s="23">
        <f t="shared" si="173"/>
        <v>-7.84230270516386</v>
      </c>
      <c r="BP39" s="8"/>
      <c r="BQ39" s="20">
        <v>243</v>
      </c>
      <c r="BR39" s="10">
        <v>388.8</v>
      </c>
      <c r="BS39" s="11">
        <v>92645</v>
      </c>
      <c r="BT39" s="23">
        <f t="shared" si="202"/>
        <v>0.8298755186721962</v>
      </c>
      <c r="BU39" s="23">
        <f t="shared" si="202"/>
        <v>-0.8972267536704663</v>
      </c>
      <c r="BV39" s="23">
        <f t="shared" si="174"/>
        <v>-0.4951345777930527</v>
      </c>
      <c r="BW39" s="8"/>
      <c r="BX39" s="20">
        <v>205</v>
      </c>
      <c r="BY39" s="10">
        <v>408.7</v>
      </c>
      <c r="BZ39" s="11">
        <v>82283</v>
      </c>
      <c r="CA39" s="23">
        <f t="shared" si="175"/>
        <v>-15.637860082304528</v>
      </c>
      <c r="CB39" s="23">
        <f>BY39*100/BR39-100</f>
        <v>5.118312757201636</v>
      </c>
      <c r="CC39" s="23">
        <f t="shared" si="176"/>
        <v>-11.184629499703163</v>
      </c>
      <c r="CD39" s="8"/>
      <c r="CE39" s="20">
        <v>206</v>
      </c>
      <c r="CF39" s="10">
        <v>409.6</v>
      </c>
      <c r="CG39" s="11">
        <v>82876</v>
      </c>
      <c r="CH39" s="23">
        <f t="shared" si="177"/>
        <v>0.48780487804877737</v>
      </c>
      <c r="CI39" s="23">
        <f>CF39*100/BY39-100</f>
        <v>0.22021042329336638</v>
      </c>
      <c r="CJ39" s="23">
        <f t="shared" si="178"/>
        <v>0.7206834947680534</v>
      </c>
      <c r="CK39" s="8"/>
      <c r="CL39" s="20">
        <v>210</v>
      </c>
      <c r="CM39" s="10">
        <v>405</v>
      </c>
      <c r="CN39" s="11">
        <v>83146</v>
      </c>
      <c r="CO39" s="23">
        <f t="shared" si="179"/>
        <v>1.9417475728155296</v>
      </c>
      <c r="CP39" s="23">
        <f>CM39*100/CF39-100</f>
        <v>-1.123046875</v>
      </c>
      <c r="CQ39" s="23">
        <f t="shared" si="180"/>
        <v>0.32578792412761004</v>
      </c>
      <c r="CR39" s="8"/>
      <c r="CS39" s="20">
        <v>211</v>
      </c>
      <c r="CT39" s="10">
        <v>370.3</v>
      </c>
      <c r="CU39" s="11">
        <v>76780</v>
      </c>
      <c r="CV39" s="23">
        <f t="shared" si="181"/>
        <v>0.4761904761904816</v>
      </c>
      <c r="CW39" s="23">
        <f>CT39*100/CM39-100</f>
        <v>-8.567901234567898</v>
      </c>
      <c r="CX39" s="23">
        <f t="shared" si="182"/>
        <v>-7.656411613306716</v>
      </c>
      <c r="CY39" s="8"/>
      <c r="CZ39" s="20">
        <v>214</v>
      </c>
      <c r="DA39" s="10">
        <v>373</v>
      </c>
      <c r="DB39" s="11">
        <v>78470</v>
      </c>
      <c r="DC39" s="23">
        <f t="shared" si="183"/>
        <v>1.4218009478672968</v>
      </c>
      <c r="DD39" s="23">
        <f>DA39*100/CT39-100</f>
        <v>0.7291385363218978</v>
      </c>
      <c r="DE39" s="23">
        <f t="shared" si="184"/>
        <v>2.2010940349049264</v>
      </c>
      <c r="DF39" s="8"/>
      <c r="DG39" s="20">
        <v>218</v>
      </c>
      <c r="DH39" s="10">
        <v>376.3</v>
      </c>
      <c r="DI39" s="11">
        <v>80520</v>
      </c>
      <c r="DJ39" s="23">
        <f t="shared" si="185"/>
        <v>1.8691588785046775</v>
      </c>
      <c r="DK39" s="23">
        <f>DH39*100/DA39-100</f>
        <v>0.8847184986595238</v>
      </c>
      <c r="DL39" s="23">
        <f t="shared" si="186"/>
        <v>2.612463361794312</v>
      </c>
      <c r="DM39" s="8"/>
      <c r="DN39" s="20">
        <v>169</v>
      </c>
      <c r="DO39" s="10">
        <v>411.7</v>
      </c>
      <c r="DP39" s="11">
        <v>68220</v>
      </c>
      <c r="DQ39" s="23">
        <f t="shared" si="187"/>
        <v>-22.477064220183493</v>
      </c>
      <c r="DR39" s="23">
        <f>DO39*100/DH39-100</f>
        <v>9.40738772256178</v>
      </c>
      <c r="DS39" s="23">
        <f t="shared" si="188"/>
        <v>-15.275707898658723</v>
      </c>
      <c r="DT39" s="8"/>
      <c r="DU39" s="20">
        <v>163</v>
      </c>
      <c r="DV39" s="10">
        <v>395.8</v>
      </c>
      <c r="DW39" s="11">
        <v>63320</v>
      </c>
      <c r="DX39" s="23">
        <f t="shared" si="189"/>
        <v>-3.5502958579881607</v>
      </c>
      <c r="DY39" s="23">
        <f>DV39*100/DO39-100</f>
        <v>-3.8620354627155677</v>
      </c>
      <c r="DZ39" s="23">
        <f t="shared" si="190"/>
        <v>-7.182644385810619</v>
      </c>
      <c r="EA39" s="8"/>
      <c r="EB39" s="20">
        <v>170</v>
      </c>
      <c r="EC39" s="10">
        <v>399.8</v>
      </c>
      <c r="ED39" s="11">
        <v>66770</v>
      </c>
      <c r="EE39" s="23">
        <f t="shared" si="191"/>
        <v>4.294478527607367</v>
      </c>
      <c r="EF39" s="23">
        <f>EC39*100/DV39-100</f>
        <v>1.01061141990904</v>
      </c>
      <c r="EG39" s="23">
        <f t="shared" si="192"/>
        <v>5.448515476942518</v>
      </c>
      <c r="EH39" s="8"/>
      <c r="EI39" s="20">
        <v>53</v>
      </c>
      <c r="EJ39" s="10">
        <v>293.8</v>
      </c>
      <c r="EK39" s="11">
        <v>14380</v>
      </c>
      <c r="EL39" s="23">
        <f t="shared" si="193"/>
        <v>-68.82352941176471</v>
      </c>
      <c r="EM39" s="23">
        <f>EJ39*100/EC39-100</f>
        <v>-26.513256628314153</v>
      </c>
      <c r="EN39" s="23">
        <f t="shared" si="194"/>
        <v>-78.46338175827468</v>
      </c>
      <c r="EO39" s="8"/>
      <c r="EP39" s="20">
        <v>52</v>
      </c>
      <c r="EQ39" s="10">
        <v>293.7</v>
      </c>
      <c r="ER39" s="11">
        <v>14080</v>
      </c>
      <c r="ES39" s="23">
        <f t="shared" si="195"/>
        <v>-1.8867924528301927</v>
      </c>
      <c r="ET39" s="23">
        <f>EQ39*100/EJ39-100</f>
        <v>-0.034036759700484254</v>
      </c>
      <c r="EU39" s="23">
        <f t="shared" si="196"/>
        <v>-2.0862308762169732</v>
      </c>
      <c r="EV39" s="8"/>
      <c r="EW39" s="20">
        <v>50</v>
      </c>
      <c r="EX39" s="10">
        <f t="shared" si="197"/>
        <v>295.4</v>
      </c>
      <c r="EY39" s="11">
        <v>14770</v>
      </c>
      <c r="EZ39" s="11">
        <v>13580</v>
      </c>
      <c r="FA39" s="23">
        <f t="shared" si="198"/>
        <v>-3.8461538461538396</v>
      </c>
      <c r="FB39" s="23">
        <f>EX39*100/EQ39-100</f>
        <v>0.5788219271365307</v>
      </c>
      <c r="FC39" s="23">
        <f t="shared" si="199"/>
        <v>-3.5511363636363598</v>
      </c>
      <c r="FD39" s="8"/>
      <c r="FE39" s="20">
        <v>50</v>
      </c>
      <c r="FF39" s="10">
        <f t="shared" si="200"/>
        <v>295.4</v>
      </c>
      <c r="FG39" s="11">
        <v>14770</v>
      </c>
      <c r="FH39" s="11">
        <v>13580</v>
      </c>
      <c r="FI39" s="23">
        <f t="shared" si="203"/>
        <v>0</v>
      </c>
      <c r="FJ39" s="23">
        <f t="shared" si="204"/>
        <v>0</v>
      </c>
      <c r="FK39" s="23">
        <f t="shared" si="204"/>
        <v>0</v>
      </c>
      <c r="FL39" s="23">
        <f t="shared" si="205"/>
        <v>0</v>
      </c>
      <c r="FM39" s="23"/>
      <c r="FN39" s="20">
        <v>361</v>
      </c>
      <c r="FO39" s="10">
        <f>FP39/FN39</f>
        <v>257.65927977839334</v>
      </c>
      <c r="FP39" s="11">
        <v>93015</v>
      </c>
      <c r="FQ39" s="11">
        <v>91660</v>
      </c>
      <c r="FR39" s="23">
        <f t="shared" si="206"/>
        <v>622</v>
      </c>
      <c r="FS39" s="23">
        <f t="shared" si="206"/>
        <v>-12.776140901017811</v>
      </c>
      <c r="FT39" s="23">
        <f t="shared" si="53"/>
        <v>529.7562626946514</v>
      </c>
      <c r="FU39" s="23">
        <f t="shared" si="53"/>
        <v>574.9631811487482</v>
      </c>
      <c r="FV39" s="23"/>
      <c r="FW39" s="20">
        <v>364</v>
      </c>
      <c r="FX39" s="10">
        <f>FY39/FW39</f>
        <v>232.28571428571428</v>
      </c>
      <c r="FY39" s="20">
        <v>84552</v>
      </c>
      <c r="FZ39" s="20">
        <v>83145</v>
      </c>
      <c r="GA39" s="23">
        <f t="shared" si="207"/>
        <v>0.8310249307479154</v>
      </c>
      <c r="GB39" s="23">
        <f t="shared" si="207"/>
        <v>-9.847720413758154</v>
      </c>
      <c r="GC39" s="23">
        <f t="shared" si="207"/>
        <v>-9.098532494758913</v>
      </c>
      <c r="GD39" s="23">
        <f t="shared" si="207"/>
        <v>-9.2897665284748</v>
      </c>
      <c r="GE39" s="23"/>
      <c r="GF39" s="20">
        <v>173</v>
      </c>
      <c r="GG39" s="10">
        <f>GH39/GF39</f>
        <v>298.4508670520231</v>
      </c>
      <c r="GH39" s="20">
        <v>51632</v>
      </c>
      <c r="GI39" s="20">
        <v>50492</v>
      </c>
      <c r="GJ39" s="23">
        <f t="shared" si="208"/>
        <v>-52.472527472527474</v>
      </c>
      <c r="GK39" s="23">
        <f t="shared" si="208"/>
        <v>28.484383109727048</v>
      </c>
      <c r="GL39" s="23">
        <f t="shared" si="57"/>
        <v>-38.934620115431926</v>
      </c>
      <c r="GM39" s="23">
        <f t="shared" si="57"/>
        <v>-39.27235552348307</v>
      </c>
      <c r="GN39" s="23"/>
      <c r="GO39" s="20">
        <v>135</v>
      </c>
      <c r="GP39" s="10">
        <f>GQ39/GO39</f>
        <v>277.8222222222222</v>
      </c>
      <c r="GQ39" s="20">
        <v>37506</v>
      </c>
      <c r="GR39" s="20">
        <v>36546</v>
      </c>
      <c r="GS39" s="23">
        <f t="shared" si="209"/>
        <v>-21.965317919075147</v>
      </c>
      <c r="GT39" s="23">
        <f t="shared" si="209"/>
        <v>-6.91190648349</v>
      </c>
      <c r="GU39" s="23">
        <f t="shared" si="59"/>
        <v>-27.359002169197396</v>
      </c>
      <c r="GV39" s="23">
        <f t="shared" si="60"/>
        <v>-27.62021706408936</v>
      </c>
      <c r="GW39" s="23"/>
      <c r="GX39" s="20">
        <v>114</v>
      </c>
      <c r="GY39" s="10">
        <f>GZ39/GX39</f>
        <v>243.89473684210526</v>
      </c>
      <c r="GZ39" s="20">
        <v>27804</v>
      </c>
      <c r="HA39" s="20">
        <v>26686</v>
      </c>
      <c r="HB39" s="23">
        <f t="shared" si="210"/>
        <v>-15.555555555555557</v>
      </c>
      <c r="HC39" s="23">
        <f>GY39*100/GP39-100</f>
        <v>-12.211940826309885</v>
      </c>
      <c r="HD39" s="23">
        <f t="shared" si="62"/>
        <v>-25.86786114221725</v>
      </c>
      <c r="HE39" s="23">
        <f t="shared" si="63"/>
        <v>-26.97969682044547</v>
      </c>
      <c r="HF39" s="23"/>
      <c r="HG39" s="20">
        <v>110</v>
      </c>
      <c r="HH39" s="10">
        <f>HI39/HG39</f>
        <v>252.3181818181818</v>
      </c>
      <c r="HI39" s="20">
        <v>27755</v>
      </c>
      <c r="HJ39" s="20">
        <v>27091</v>
      </c>
      <c r="HK39" s="23">
        <f t="shared" si="211"/>
        <v>-3.5087719298245617</v>
      </c>
      <c r="HL39" s="23">
        <f>HH39*100/GY39-100</f>
        <v>3.4537215050810204</v>
      </c>
      <c r="HM39" s="23">
        <f t="shared" si="105"/>
        <v>-0.17623363544814197</v>
      </c>
      <c r="HN39" s="23">
        <f t="shared" si="106"/>
        <v>1.5176497039646222</v>
      </c>
      <c r="HO39" s="23"/>
      <c r="HP39" s="20">
        <v>112</v>
      </c>
      <c r="HQ39" s="10">
        <f>HR39/HP39</f>
        <v>235.39285714285714</v>
      </c>
      <c r="HR39" s="20">
        <v>26364</v>
      </c>
      <c r="HS39" s="20">
        <v>25764</v>
      </c>
      <c r="HT39" s="23">
        <f t="shared" si="212"/>
        <v>1.818181818181813</v>
      </c>
      <c r="HU39" s="23">
        <f>HQ39*100/HH39-100</f>
        <v>-6.707929073268659</v>
      </c>
      <c r="HV39" s="23">
        <f t="shared" si="64"/>
        <v>-5.011709601873534</v>
      </c>
      <c r="HW39" s="23">
        <f t="shared" si="65"/>
        <v>-4.898305710383525</v>
      </c>
      <c r="HX39" s="23"/>
      <c r="HY39" s="20">
        <v>112</v>
      </c>
      <c r="HZ39" s="10">
        <f>IA39/HY39</f>
        <v>235.39285714285714</v>
      </c>
      <c r="IA39" s="11">
        <v>26364</v>
      </c>
      <c r="IB39" s="11">
        <v>25764</v>
      </c>
      <c r="IC39" s="23">
        <f t="shared" si="213"/>
        <v>0</v>
      </c>
      <c r="ID39" s="23">
        <f>HZ39*100/HQ39-100</f>
        <v>0</v>
      </c>
      <c r="IE39" s="23">
        <f t="shared" si="42"/>
        <v>0</v>
      </c>
      <c r="IF39" s="23">
        <f t="shared" si="43"/>
        <v>0</v>
      </c>
      <c r="IG39" s="23"/>
      <c r="IH39" s="1" t="s">
        <v>36</v>
      </c>
      <c r="II39" s="29">
        <f t="shared" si="44"/>
        <v>146.2</v>
      </c>
      <c r="IJ39" s="30">
        <f t="shared" si="45"/>
        <v>274.07310019986403</v>
      </c>
      <c r="IK39" s="29">
        <f t="shared" si="46"/>
        <v>37124</v>
      </c>
      <c r="IL39" s="25">
        <f t="shared" si="47"/>
        <v>-23.392612859097127</v>
      </c>
      <c r="IM39" s="25">
        <f t="shared" si="48"/>
        <v>-14.11311180440542</v>
      </c>
      <c r="IN39" s="25">
        <f t="shared" si="49"/>
        <v>-30.600150845814028</v>
      </c>
      <c r="IP39" s="30">
        <f>HP39*100/Italia!BR39</f>
        <v>4.351204351204351</v>
      </c>
      <c r="IQ39" s="30">
        <f>HR39*100/Italia!BT39</f>
        <v>4.231489640361901</v>
      </c>
      <c r="IR39" s="30">
        <f>HS39*100/Italia!BU39</f>
        <v>4.3034101234699875</v>
      </c>
    </row>
    <row r="40" spans="1:252" ht="12">
      <c r="A40" s="1" t="s">
        <v>37</v>
      </c>
      <c r="B40" s="22">
        <v>22.22</v>
      </c>
      <c r="C40" s="10">
        <v>469.1</v>
      </c>
      <c r="D40" s="11">
        <v>10374</v>
      </c>
      <c r="E40" s="9"/>
      <c r="F40" s="22">
        <v>23.03</v>
      </c>
      <c r="G40" s="10">
        <v>477.9</v>
      </c>
      <c r="H40" s="11">
        <v>10933</v>
      </c>
      <c r="I40" s="23" t="e">
        <f>#VALUE!*100/B40-100</f>
        <v>#VALUE!</v>
      </c>
      <c r="J40" s="23" t="e">
        <f>#VALUE!*100/C40-100</f>
        <v>#VALUE!</v>
      </c>
      <c r="K40" s="23" t="e">
        <f>#VALUE!*100/D40-100</f>
        <v>#VALUE!</v>
      </c>
      <c r="L40" s="8"/>
      <c r="M40" s="22">
        <v>23.2</v>
      </c>
      <c r="N40" s="10">
        <v>479.5</v>
      </c>
      <c r="O40" s="11">
        <v>11095</v>
      </c>
      <c r="P40" s="23" t="e">
        <f>M40*100/#VALUE!-100</f>
        <v>#VALUE!</v>
      </c>
      <c r="Q40" s="23" t="e">
        <f>N40*100/#VALUE!-100</f>
        <v>#VALUE!</v>
      </c>
      <c r="R40" s="23" t="e">
        <f>O40*100/#VALUE!-100</f>
        <v>#VALUE!</v>
      </c>
      <c r="S40" s="8"/>
      <c r="T40" s="22">
        <v>11.4</v>
      </c>
      <c r="U40" s="10">
        <v>455.3</v>
      </c>
      <c r="V40" s="11">
        <v>5140</v>
      </c>
      <c r="W40" s="23">
        <f t="shared" si="161"/>
        <v>-50.86206896551724</v>
      </c>
      <c r="X40" s="23">
        <f>U40*100/N40-100</f>
        <v>-5.046923879040662</v>
      </c>
      <c r="Y40" s="23">
        <f t="shared" si="162"/>
        <v>-53.67282559711582</v>
      </c>
      <c r="Z40" s="8"/>
      <c r="AA40" s="22">
        <v>13.2</v>
      </c>
      <c r="AB40" s="10">
        <v>460.5</v>
      </c>
      <c r="AC40" s="11">
        <v>5985</v>
      </c>
      <c r="AD40" s="23">
        <f t="shared" si="163"/>
        <v>15.78947368421052</v>
      </c>
      <c r="AE40" s="23">
        <f>AB40*100/U40-100</f>
        <v>1.142104107182078</v>
      </c>
      <c r="AF40" s="23">
        <f t="shared" si="164"/>
        <v>16.43968871595331</v>
      </c>
      <c r="AG40" s="8"/>
      <c r="AH40" s="22">
        <v>13.72</v>
      </c>
      <c r="AI40" s="10">
        <f>6211/AH40</f>
        <v>452.69679300291546</v>
      </c>
      <c r="AJ40" s="11">
        <v>6162</v>
      </c>
      <c r="AK40" s="23">
        <f t="shared" si="165"/>
        <v>3.939393939393952</v>
      </c>
      <c r="AL40" s="23">
        <f>AI40*100/AB40-100</f>
        <v>-1.6945074912235754</v>
      </c>
      <c r="AM40" s="23">
        <f t="shared" si="166"/>
        <v>2.957393483709268</v>
      </c>
      <c r="AN40" s="8"/>
      <c r="AO40" s="22">
        <v>13.65</v>
      </c>
      <c r="AP40" s="10">
        <f>6080/AO40</f>
        <v>445.42124542124543</v>
      </c>
      <c r="AQ40" s="11">
        <v>6021</v>
      </c>
      <c r="AR40" s="23">
        <f t="shared" si="167"/>
        <v>-0.5102040816326507</v>
      </c>
      <c r="AS40" s="23">
        <f>AP40*100/AI40-100</f>
        <v>-1.6071568639593181</v>
      </c>
      <c r="AT40" s="23">
        <f t="shared" si="168"/>
        <v>-2.2882181110029194</v>
      </c>
      <c r="AU40" s="8"/>
      <c r="AV40" s="22">
        <v>33.6</v>
      </c>
      <c r="AW40" s="10">
        <f>14890/AV40</f>
        <v>443.15476190476187</v>
      </c>
      <c r="AX40" s="11">
        <v>14865</v>
      </c>
      <c r="AY40" s="23">
        <f t="shared" si="169"/>
        <v>146.15384615384616</v>
      </c>
      <c r="AZ40" s="23">
        <f>AW40*100/AP40-100</f>
        <v>-0.5088404605263293</v>
      </c>
      <c r="BA40" s="23">
        <f t="shared" si="170"/>
        <v>146.88589935226707</v>
      </c>
      <c r="BB40" s="8"/>
      <c r="BC40" s="22">
        <v>34.3</v>
      </c>
      <c r="BD40" s="10">
        <v>444</v>
      </c>
      <c r="BE40" s="11">
        <v>15195</v>
      </c>
      <c r="BF40" s="23">
        <f t="shared" si="171"/>
        <v>2.0833333333333144</v>
      </c>
      <c r="BG40" s="23">
        <f>BD40*100/AW40-100</f>
        <v>0.19073203492277457</v>
      </c>
      <c r="BH40" s="23">
        <f t="shared" si="172"/>
        <v>2.219979818365289</v>
      </c>
      <c r="BI40" s="8"/>
      <c r="BJ40" s="22">
        <v>34.25</v>
      </c>
      <c r="BK40" s="10">
        <f>15310/BJ40</f>
        <v>447.007299270073</v>
      </c>
      <c r="BL40" s="11">
        <v>15305</v>
      </c>
      <c r="BM40" s="23">
        <f t="shared" si="201"/>
        <v>-0.14577259475217375</v>
      </c>
      <c r="BN40" s="23">
        <f t="shared" si="201"/>
        <v>0.6773196554218543</v>
      </c>
      <c r="BO40" s="23">
        <f t="shared" si="173"/>
        <v>0.7239223428759516</v>
      </c>
      <c r="BP40" s="8"/>
      <c r="BQ40" s="22">
        <v>32.4</v>
      </c>
      <c r="BR40" s="10">
        <f>14620/BQ40</f>
        <v>451.2345679012346</v>
      </c>
      <c r="BS40" s="11">
        <v>14570</v>
      </c>
      <c r="BT40" s="23">
        <f t="shared" si="202"/>
        <v>-5.401459854014604</v>
      </c>
      <c r="BU40" s="23">
        <f t="shared" si="202"/>
        <v>0.9456822378659808</v>
      </c>
      <c r="BV40" s="23">
        <f t="shared" si="174"/>
        <v>-4.802352172492647</v>
      </c>
      <c r="BW40" s="8"/>
      <c r="BX40" s="22">
        <v>30.32</v>
      </c>
      <c r="BY40" s="10">
        <f>13950/BX40</f>
        <v>460.0923482849604</v>
      </c>
      <c r="BZ40" s="11">
        <v>13885</v>
      </c>
      <c r="CA40" s="23">
        <f t="shared" si="175"/>
        <v>-6.419753086419746</v>
      </c>
      <c r="CB40" s="23">
        <f>BY40*100/BR40-100</f>
        <v>1.963010153438546</v>
      </c>
      <c r="CC40" s="23">
        <f t="shared" si="176"/>
        <v>-4.701441317776258</v>
      </c>
      <c r="CD40" s="8"/>
      <c r="CE40" s="22">
        <v>31.1</v>
      </c>
      <c r="CF40" s="10">
        <f>14568/CE40</f>
        <v>468.42443729903533</v>
      </c>
      <c r="CG40" s="11">
        <v>14513</v>
      </c>
      <c r="CH40" s="23">
        <f t="shared" si="177"/>
        <v>2.572559366754618</v>
      </c>
      <c r="CI40" s="23">
        <f>CF40*100/BY40-100</f>
        <v>1.8109601355322695</v>
      </c>
      <c r="CJ40" s="23">
        <f t="shared" si="178"/>
        <v>4.522866402592726</v>
      </c>
      <c r="CK40" s="8"/>
      <c r="CL40" s="22">
        <v>28.6</v>
      </c>
      <c r="CM40" s="10">
        <f>12569/CL40</f>
        <v>439.4755244755245</v>
      </c>
      <c r="CN40" s="11">
        <v>12514</v>
      </c>
      <c r="CO40" s="23">
        <f t="shared" si="179"/>
        <v>-8.038585209003216</v>
      </c>
      <c r="CP40" s="23">
        <f>CM40*100/CF40-100</f>
        <v>-6.180060329566075</v>
      </c>
      <c r="CQ40" s="23">
        <f t="shared" si="180"/>
        <v>-13.773857920485085</v>
      </c>
      <c r="CR40" s="8"/>
      <c r="CS40" s="22">
        <v>23.7</v>
      </c>
      <c r="CT40" s="10">
        <f>10344/CS40</f>
        <v>436.45569620253167</v>
      </c>
      <c r="CU40" s="11">
        <v>10289</v>
      </c>
      <c r="CV40" s="23">
        <f t="shared" si="181"/>
        <v>-17.132867132867133</v>
      </c>
      <c r="CW40" s="23">
        <f>CT40*100/CM40-100</f>
        <v>-0.6871436757704998</v>
      </c>
      <c r="CX40" s="23">
        <f t="shared" si="182"/>
        <v>-17.780086303340255</v>
      </c>
      <c r="CY40" s="8"/>
      <c r="CZ40" s="22">
        <v>8.8</v>
      </c>
      <c r="DA40" s="10">
        <f>12136/CZ40</f>
        <v>1379.090909090909</v>
      </c>
      <c r="DB40" s="11">
        <v>4881</v>
      </c>
      <c r="DC40" s="23">
        <f t="shared" si="183"/>
        <v>-62.86919831223628</v>
      </c>
      <c r="DD40" s="23">
        <f>DA40*100/CT40-100</f>
        <v>215.97500527314912</v>
      </c>
      <c r="DE40" s="23">
        <f t="shared" si="184"/>
        <v>-52.56098746233842</v>
      </c>
      <c r="DF40" s="8"/>
      <c r="DG40" s="22">
        <v>28.5</v>
      </c>
      <c r="DH40" s="10">
        <f>12910/DG40</f>
        <v>452.9824561403509</v>
      </c>
      <c r="DI40" s="11">
        <v>12855</v>
      </c>
      <c r="DJ40" s="23">
        <f t="shared" si="185"/>
        <v>223.86363636363632</v>
      </c>
      <c r="DK40" s="23">
        <f>DH40*100/DA40-100</f>
        <v>-67.15354635765419</v>
      </c>
      <c r="DL40" s="23">
        <f t="shared" si="186"/>
        <v>163.36816226183157</v>
      </c>
      <c r="DM40" s="8"/>
      <c r="DN40" s="22">
        <v>31.5</v>
      </c>
      <c r="DO40" s="10">
        <f>14260/DN40</f>
        <v>452.6984126984127</v>
      </c>
      <c r="DP40" s="11">
        <v>14205</v>
      </c>
      <c r="DQ40" s="23">
        <f t="shared" si="187"/>
        <v>10.526315789473685</v>
      </c>
      <c r="DR40" s="23">
        <f>DO40*100/DH40-100</f>
        <v>-0.06270517502120754</v>
      </c>
      <c r="DS40" s="23">
        <f t="shared" si="188"/>
        <v>10.501750291715283</v>
      </c>
      <c r="DT40" s="8"/>
      <c r="DU40" s="22">
        <v>30.5</v>
      </c>
      <c r="DV40" s="10">
        <f>14360/DU40</f>
        <v>470.8196721311475</v>
      </c>
      <c r="DW40" s="11">
        <v>14305</v>
      </c>
      <c r="DX40" s="23">
        <f t="shared" si="189"/>
        <v>-3.1746031746031775</v>
      </c>
      <c r="DY40" s="23">
        <f>DV40*100/DO40-100</f>
        <v>4.002943002322212</v>
      </c>
      <c r="DZ40" s="23">
        <f t="shared" si="190"/>
        <v>0.7039774727208794</v>
      </c>
      <c r="EA40" s="8"/>
      <c r="EB40" s="22">
        <v>26.4</v>
      </c>
      <c r="EC40" s="10">
        <f>10750/EB40</f>
        <v>407.19696969696975</v>
      </c>
      <c r="ED40" s="11">
        <v>10695</v>
      </c>
      <c r="EE40" s="23">
        <f t="shared" si="191"/>
        <v>-13.442622950819668</v>
      </c>
      <c r="EF40" s="23">
        <f>EC40*100/DV40-100</f>
        <v>-13.513178441799596</v>
      </c>
      <c r="EG40" s="23">
        <f t="shared" si="192"/>
        <v>-25.23593149248515</v>
      </c>
      <c r="EH40" s="8"/>
      <c r="EI40" s="22">
        <v>25</v>
      </c>
      <c r="EJ40" s="10">
        <f>10450/EI40</f>
        <v>418</v>
      </c>
      <c r="EK40" s="11">
        <v>10395</v>
      </c>
      <c r="EL40" s="23">
        <f t="shared" si="193"/>
        <v>-5.303030303030297</v>
      </c>
      <c r="EM40" s="23">
        <f>EJ40*100/EC40-100</f>
        <v>2.6530232558139346</v>
      </c>
      <c r="EN40" s="23">
        <f t="shared" si="194"/>
        <v>-2.8050490883590413</v>
      </c>
      <c r="EO40" s="8"/>
      <c r="EP40" s="22">
        <v>26</v>
      </c>
      <c r="EQ40" s="10">
        <f>10850/EP40</f>
        <v>417.3076923076923</v>
      </c>
      <c r="ER40" s="11">
        <v>10795</v>
      </c>
      <c r="ES40" s="23">
        <f t="shared" si="195"/>
        <v>4</v>
      </c>
      <c r="ET40" s="23">
        <f>EQ40*100/EJ40-100</f>
        <v>-0.16562384983436118</v>
      </c>
      <c r="EU40" s="23">
        <f t="shared" si="196"/>
        <v>3.8480038480038417</v>
      </c>
      <c r="EV40" s="8"/>
      <c r="EW40" s="22">
        <v>27.2</v>
      </c>
      <c r="EX40" s="10">
        <f t="shared" si="197"/>
        <v>417.64705882352945</v>
      </c>
      <c r="EY40" s="11">
        <v>11360</v>
      </c>
      <c r="EZ40" s="11">
        <v>11305</v>
      </c>
      <c r="FA40" s="23">
        <f t="shared" si="198"/>
        <v>4.615384615384613</v>
      </c>
      <c r="FB40" s="23">
        <f>EX40*100/EQ40-100</f>
        <v>0.0813228517213389</v>
      </c>
      <c r="FC40" s="23">
        <f t="shared" si="199"/>
        <v>4.7244094488189035</v>
      </c>
      <c r="FD40" s="8"/>
      <c r="FE40" s="22">
        <v>28</v>
      </c>
      <c r="FF40" s="10">
        <f t="shared" si="200"/>
        <v>412.5</v>
      </c>
      <c r="FG40" s="11">
        <v>11550</v>
      </c>
      <c r="FH40" s="11">
        <v>11495</v>
      </c>
      <c r="FI40" s="23">
        <f t="shared" si="203"/>
        <v>2.941176470588232</v>
      </c>
      <c r="FJ40" s="23">
        <f t="shared" si="204"/>
        <v>-1.232394366197198</v>
      </c>
      <c r="FK40" s="23">
        <f t="shared" si="204"/>
        <v>1.6725352112676006</v>
      </c>
      <c r="FL40" s="23">
        <f t="shared" si="205"/>
        <v>1.680672268907557</v>
      </c>
      <c r="FM40" s="23"/>
      <c r="FN40" s="22">
        <v>30.7</v>
      </c>
      <c r="FO40" s="10">
        <f>FP40/FN40</f>
        <v>407.1661237785016</v>
      </c>
      <c r="FP40" s="11">
        <v>12500</v>
      </c>
      <c r="FQ40" s="11">
        <v>12445</v>
      </c>
      <c r="FR40" s="23">
        <f t="shared" si="206"/>
        <v>9.642857142857139</v>
      </c>
      <c r="FS40" s="23">
        <f t="shared" si="206"/>
        <v>-1.2930609021814234</v>
      </c>
      <c r="FT40" s="23">
        <f t="shared" si="53"/>
        <v>8.22510822510823</v>
      </c>
      <c r="FU40" s="23">
        <f t="shared" si="53"/>
        <v>8.264462809917362</v>
      </c>
      <c r="FV40" s="23"/>
      <c r="FW40" s="22">
        <v>29.5</v>
      </c>
      <c r="FX40" s="10">
        <f>FY40/FW40</f>
        <v>406.77966101694915</v>
      </c>
      <c r="FY40" s="20">
        <v>12000</v>
      </c>
      <c r="FZ40" s="20">
        <v>11945</v>
      </c>
      <c r="GA40" s="23">
        <f t="shared" si="207"/>
        <v>-3.9087947882736103</v>
      </c>
      <c r="GB40" s="23">
        <f t="shared" si="207"/>
        <v>-0.09491525423727865</v>
      </c>
      <c r="GC40" s="23">
        <f t="shared" si="207"/>
        <v>-4</v>
      </c>
      <c r="GD40" s="23">
        <f t="shared" si="207"/>
        <v>-4.0176777822418615</v>
      </c>
      <c r="GE40" s="23"/>
      <c r="GF40" s="22">
        <v>30.5</v>
      </c>
      <c r="GG40" s="10">
        <f>GH40/GF40</f>
        <v>406.55737704918033</v>
      </c>
      <c r="GH40" s="20">
        <v>12400</v>
      </c>
      <c r="GI40" s="20">
        <v>12345</v>
      </c>
      <c r="GJ40" s="23">
        <f t="shared" si="208"/>
        <v>3.3898305084745743</v>
      </c>
      <c r="GK40" s="23">
        <f t="shared" si="208"/>
        <v>-0.0546448087431628</v>
      </c>
      <c r="GL40" s="23">
        <f t="shared" si="57"/>
        <v>3.3333333333333286</v>
      </c>
      <c r="GM40" s="23">
        <f t="shared" si="57"/>
        <v>3.348681456676431</v>
      </c>
      <c r="GN40" s="23"/>
      <c r="GO40" s="22">
        <v>14.9</v>
      </c>
      <c r="GP40" s="10">
        <f>GQ40/GO40</f>
        <v>503.35570469798654</v>
      </c>
      <c r="GQ40" s="20">
        <v>7500</v>
      </c>
      <c r="GR40" s="20">
        <v>7445</v>
      </c>
      <c r="GS40" s="23">
        <f t="shared" si="209"/>
        <v>-51.14754098360656</v>
      </c>
      <c r="GT40" s="23">
        <f t="shared" si="209"/>
        <v>23.809266074907967</v>
      </c>
      <c r="GU40" s="23">
        <f t="shared" si="59"/>
        <v>-39.516129032258064</v>
      </c>
      <c r="GV40" s="23">
        <f t="shared" si="60"/>
        <v>-39.69218307006885</v>
      </c>
      <c r="GW40" s="23"/>
      <c r="GX40" s="22">
        <v>8</v>
      </c>
      <c r="GY40" s="10">
        <f>GZ40/GX40</f>
        <v>506.25</v>
      </c>
      <c r="GZ40" s="20">
        <v>4050</v>
      </c>
      <c r="HA40" s="20">
        <v>3995</v>
      </c>
      <c r="HB40" s="23">
        <f t="shared" si="210"/>
        <v>-46.308724832214764</v>
      </c>
      <c r="HC40" s="23">
        <f>GY40*100/GP40-100</f>
        <v>0.5750000000000028</v>
      </c>
      <c r="HD40" s="23">
        <f t="shared" si="62"/>
        <v>-46</v>
      </c>
      <c r="HE40" s="23">
        <f t="shared" si="63"/>
        <v>-46.33982538616521</v>
      </c>
      <c r="HF40" s="23"/>
      <c r="HG40" s="22">
        <v>8</v>
      </c>
      <c r="HH40" s="10">
        <f>HI40/HG40</f>
        <v>506.25</v>
      </c>
      <c r="HI40" s="20">
        <v>4050</v>
      </c>
      <c r="HJ40" s="20">
        <v>3995</v>
      </c>
      <c r="HK40" s="23">
        <f t="shared" si="211"/>
        <v>0</v>
      </c>
      <c r="HL40" s="23">
        <f>HH40*100/GY40-100</f>
        <v>0</v>
      </c>
      <c r="HM40" s="23">
        <f t="shared" si="105"/>
        <v>0</v>
      </c>
      <c r="HN40" s="23">
        <f t="shared" si="106"/>
        <v>0</v>
      </c>
      <c r="HO40" s="23"/>
      <c r="HP40" s="22">
        <v>6</v>
      </c>
      <c r="HQ40" s="10">
        <f>HR40/HP40</f>
        <v>466.6666666666667</v>
      </c>
      <c r="HR40" s="20">
        <v>2800</v>
      </c>
      <c r="HS40" s="20">
        <v>2745</v>
      </c>
      <c r="HT40" s="23">
        <f t="shared" si="212"/>
        <v>-25</v>
      </c>
      <c r="HU40" s="23">
        <f>HQ40*100/HH40-100</f>
        <v>-7.818930041152257</v>
      </c>
      <c r="HV40" s="23">
        <f t="shared" si="64"/>
        <v>-30.864197530864203</v>
      </c>
      <c r="HW40" s="23">
        <f t="shared" si="65"/>
        <v>-31.289111389236552</v>
      </c>
      <c r="HX40" s="23"/>
      <c r="HY40" s="22"/>
      <c r="HZ40" s="10" t="e">
        <f>IA40/HY40</f>
        <v>#DIV/0!</v>
      </c>
      <c r="IA40" s="20"/>
      <c r="IB40" s="20"/>
      <c r="IC40" s="23">
        <f t="shared" si="213"/>
        <v>-100</v>
      </c>
      <c r="ID40" s="23" t="e">
        <f>HZ40*100/HQ40-100</f>
        <v>#DIV/0!</v>
      </c>
      <c r="IE40" s="23">
        <f t="shared" si="42"/>
        <v>-100</v>
      </c>
      <c r="IF40" s="23">
        <f t="shared" si="43"/>
        <v>-100</v>
      </c>
      <c r="IG40" s="23"/>
      <c r="IH40" s="1" t="s">
        <v>37</v>
      </c>
      <c r="II40" s="29">
        <f t="shared" si="44"/>
        <v>22.78</v>
      </c>
      <c r="IJ40" s="30">
        <f t="shared" si="45"/>
        <v>440.181361767384</v>
      </c>
      <c r="IK40" s="29">
        <f t="shared" si="46"/>
        <v>9616</v>
      </c>
      <c r="IL40" s="25">
        <f t="shared" si="47"/>
        <v>-73.66110623353819</v>
      </c>
      <c r="IM40" s="25">
        <f t="shared" si="48"/>
        <v>6.016907393111978</v>
      </c>
      <c r="IN40" s="25">
        <f t="shared" si="49"/>
        <v>-71.45382695507487</v>
      </c>
      <c r="IP40" s="30">
        <f>HP40*100/Italia!BR40</f>
        <v>7.630675314765357</v>
      </c>
      <c r="IQ40" s="30">
        <f>HR40*100/Italia!BT40</f>
        <v>11.894142134998512</v>
      </c>
      <c r="IR40" s="30">
        <f>HS40*100/Italia!BU40</f>
        <v>11.916648578250488</v>
      </c>
    </row>
    <row r="41" spans="1:252" ht="12">
      <c r="A41" s="1" t="s">
        <v>38</v>
      </c>
      <c r="B41" s="19">
        <f>B40+B39</f>
        <v>282.22</v>
      </c>
      <c r="C41" s="6" t="s">
        <v>1</v>
      </c>
      <c r="D41" s="9">
        <f>D40+D39</f>
        <v>107674</v>
      </c>
      <c r="E41" s="9"/>
      <c r="F41" s="19">
        <f>F40+F39</f>
        <v>247.03</v>
      </c>
      <c r="G41" s="6" t="s">
        <v>1</v>
      </c>
      <c r="H41" s="9">
        <f>H40+H39</f>
        <v>95933</v>
      </c>
      <c r="I41" s="23">
        <f aca="true" t="shared" si="214" ref="I41:I72">F41*100/B41-100</f>
        <v>-12.468995818864727</v>
      </c>
      <c r="J41" s="24" t="s">
        <v>1</v>
      </c>
      <c r="K41" s="23">
        <f aca="true" t="shared" si="215" ref="K41:K72">H41*100/D41-100</f>
        <v>-10.904210858703124</v>
      </c>
      <c r="L41" s="8"/>
      <c r="M41" s="19">
        <f>M39+M40</f>
        <v>293.2</v>
      </c>
      <c r="N41" s="6" t="s">
        <v>1</v>
      </c>
      <c r="O41" s="9">
        <f>O40+O39</f>
        <v>116895</v>
      </c>
      <c r="P41" s="23">
        <f aca="true" t="shared" si="216" ref="P41:P72">M41*100/F41-100</f>
        <v>18.690037647249326</v>
      </c>
      <c r="Q41" s="24" t="s">
        <v>1</v>
      </c>
      <c r="R41" s="23">
        <f aca="true" t="shared" si="217" ref="R41:R72">O41*100/H41-100</f>
        <v>21.850666611072313</v>
      </c>
      <c r="S41" s="8"/>
      <c r="T41" s="19">
        <f>T39+T40</f>
        <v>245.4</v>
      </c>
      <c r="U41" s="6" t="s">
        <v>1</v>
      </c>
      <c r="V41" s="9">
        <f>V40+V39</f>
        <v>93640</v>
      </c>
      <c r="W41" s="23">
        <f t="shared" si="161"/>
        <v>-16.30286493860845</v>
      </c>
      <c r="X41" s="24" t="s">
        <v>1</v>
      </c>
      <c r="Y41" s="23">
        <f t="shared" si="162"/>
        <v>-19.89392189571838</v>
      </c>
      <c r="Z41" s="8"/>
      <c r="AA41" s="19">
        <f>AA39+AA40</f>
        <v>241.2</v>
      </c>
      <c r="AB41" s="6" t="s">
        <v>1</v>
      </c>
      <c r="AC41" s="9">
        <f>AC40+AC39</f>
        <v>84585</v>
      </c>
      <c r="AD41" s="23">
        <f t="shared" si="163"/>
        <v>-1.711491442542794</v>
      </c>
      <c r="AE41" s="24" t="s">
        <v>1</v>
      </c>
      <c r="AF41" s="23">
        <f t="shared" si="164"/>
        <v>-9.670012815036316</v>
      </c>
      <c r="AG41" s="8"/>
      <c r="AH41" s="19">
        <f>AH39+AH40</f>
        <v>242.72</v>
      </c>
      <c r="AI41" s="6" t="s">
        <v>1</v>
      </c>
      <c r="AJ41" s="9">
        <f>AJ40+AJ39</f>
        <v>92362</v>
      </c>
      <c r="AK41" s="23">
        <f t="shared" si="165"/>
        <v>0.6301824212272038</v>
      </c>
      <c r="AL41" s="24" t="s">
        <v>1</v>
      </c>
      <c r="AM41" s="23">
        <f t="shared" si="166"/>
        <v>9.194301590116453</v>
      </c>
      <c r="AN41" s="8"/>
      <c r="AO41" s="19">
        <f>AO39+AO40</f>
        <v>242.65</v>
      </c>
      <c r="AP41" s="6" t="s">
        <v>1</v>
      </c>
      <c r="AQ41" s="9">
        <f>AQ40+AQ39</f>
        <v>90421</v>
      </c>
      <c r="AR41" s="23">
        <f t="shared" si="167"/>
        <v>-0.028839815425186544</v>
      </c>
      <c r="AS41" s="24" t="s">
        <v>1</v>
      </c>
      <c r="AT41" s="23">
        <f t="shared" si="168"/>
        <v>-2.1015136094930824</v>
      </c>
      <c r="AU41" s="8"/>
      <c r="AV41" s="19">
        <f>AV39+AV40</f>
        <v>268.6</v>
      </c>
      <c r="AW41" s="6" t="s">
        <v>1</v>
      </c>
      <c r="AX41" s="9">
        <f>AX40+AX39</f>
        <v>117020</v>
      </c>
      <c r="AY41" s="23">
        <f t="shared" si="169"/>
        <v>10.694415825262737</v>
      </c>
      <c r="AZ41" s="24" t="s">
        <v>1</v>
      </c>
      <c r="BA41" s="23">
        <f t="shared" si="170"/>
        <v>29.416839008637368</v>
      </c>
      <c r="BB41" s="8"/>
      <c r="BC41" s="19">
        <f>BC39+BC40</f>
        <v>269.3</v>
      </c>
      <c r="BD41" s="6" t="s">
        <v>1</v>
      </c>
      <c r="BE41" s="9">
        <f>BE40+BE39</f>
        <v>116224</v>
      </c>
      <c r="BF41" s="23">
        <f t="shared" si="171"/>
        <v>0.2606105733432571</v>
      </c>
      <c r="BG41" s="24" t="s">
        <v>1</v>
      </c>
      <c r="BH41" s="23">
        <f t="shared" si="172"/>
        <v>-0.6802256024611211</v>
      </c>
      <c r="BI41" s="8"/>
      <c r="BJ41" s="19">
        <f>BJ39+BJ40</f>
        <v>275.25</v>
      </c>
      <c r="BK41" s="6" t="s">
        <v>1</v>
      </c>
      <c r="BL41" s="9">
        <f>BL40+BL39</f>
        <v>108411</v>
      </c>
      <c r="BM41" s="23">
        <f aca="true" t="shared" si="218" ref="BM41:BM72">BJ41*100/BC41-100</f>
        <v>2.209431860378757</v>
      </c>
      <c r="BN41" s="24" t="s">
        <v>1</v>
      </c>
      <c r="BO41" s="23">
        <f t="shared" si="173"/>
        <v>-6.722363711453738</v>
      </c>
      <c r="BP41" s="8"/>
      <c r="BQ41" s="19">
        <f>BQ39+BQ40</f>
        <v>275.4</v>
      </c>
      <c r="BR41" s="6" t="s">
        <v>1</v>
      </c>
      <c r="BS41" s="9">
        <f>BS40+BS39</f>
        <v>107215</v>
      </c>
      <c r="BT41" s="23">
        <f aca="true" t="shared" si="219" ref="BT41:BT72">BQ41*100/BJ41-100</f>
        <v>0.0544959128065301</v>
      </c>
      <c r="BU41" s="24" t="s">
        <v>1</v>
      </c>
      <c r="BV41" s="23">
        <f t="shared" si="174"/>
        <v>-1.1032090839490394</v>
      </c>
      <c r="BW41" s="8"/>
      <c r="BX41" s="19">
        <f>BX39+BX40</f>
        <v>235.32</v>
      </c>
      <c r="BY41" s="6" t="s">
        <v>1</v>
      </c>
      <c r="BZ41" s="9">
        <f>BZ40+BZ39</f>
        <v>96168</v>
      </c>
      <c r="CA41" s="23">
        <f t="shared" si="175"/>
        <v>-14.553376906318078</v>
      </c>
      <c r="CB41" s="24" t="s">
        <v>1</v>
      </c>
      <c r="CC41" s="23">
        <f t="shared" si="176"/>
        <v>-10.303595578976825</v>
      </c>
      <c r="CD41" s="8"/>
      <c r="CE41" s="19">
        <f>CE39+CE40</f>
        <v>237.1</v>
      </c>
      <c r="CF41" s="6" t="s">
        <v>1</v>
      </c>
      <c r="CG41" s="9">
        <f>CG40+CG39</f>
        <v>97389</v>
      </c>
      <c r="CH41" s="23">
        <f t="shared" si="177"/>
        <v>0.7564167941526421</v>
      </c>
      <c r="CI41" s="24" t="s">
        <v>1</v>
      </c>
      <c r="CJ41" s="23">
        <f t="shared" si="178"/>
        <v>1.2696531070626378</v>
      </c>
      <c r="CK41" s="8"/>
      <c r="CL41" s="19">
        <f>CL39+CL40</f>
        <v>238.6</v>
      </c>
      <c r="CM41" s="6" t="s">
        <v>1</v>
      </c>
      <c r="CN41" s="9">
        <f>CN40+CN39</f>
        <v>95660</v>
      </c>
      <c r="CO41" s="23">
        <f t="shared" si="179"/>
        <v>0.6326444538169511</v>
      </c>
      <c r="CP41" s="24" t="s">
        <v>1</v>
      </c>
      <c r="CQ41" s="23">
        <f t="shared" si="180"/>
        <v>-1.7753545061557219</v>
      </c>
      <c r="CR41" s="8"/>
      <c r="CS41" s="19">
        <f>CS39+CS40</f>
        <v>234.7</v>
      </c>
      <c r="CT41" s="6" t="s">
        <v>1</v>
      </c>
      <c r="CU41" s="9">
        <f>CU40+CU39</f>
        <v>87069</v>
      </c>
      <c r="CV41" s="23">
        <f t="shared" si="181"/>
        <v>-1.6345347862531412</v>
      </c>
      <c r="CW41" s="24" t="s">
        <v>1</v>
      </c>
      <c r="CX41" s="23">
        <f t="shared" si="182"/>
        <v>-8.980765210119174</v>
      </c>
      <c r="CY41" s="8"/>
      <c r="CZ41" s="19">
        <f>CZ39+CZ40</f>
        <v>222.8</v>
      </c>
      <c r="DA41" s="6" t="s">
        <v>1</v>
      </c>
      <c r="DB41" s="9">
        <f>DB40+DB39</f>
        <v>83351</v>
      </c>
      <c r="DC41" s="23">
        <f t="shared" si="183"/>
        <v>-5.070302513847466</v>
      </c>
      <c r="DD41" s="24" t="s">
        <v>1</v>
      </c>
      <c r="DE41" s="23">
        <f t="shared" si="184"/>
        <v>-4.270176526662766</v>
      </c>
      <c r="DF41" s="8"/>
      <c r="DG41" s="19">
        <f>DG39+DG40</f>
        <v>246.5</v>
      </c>
      <c r="DH41" s="6" t="s">
        <v>1</v>
      </c>
      <c r="DI41" s="9">
        <f>DI40+DI39</f>
        <v>93375</v>
      </c>
      <c r="DJ41" s="23">
        <f t="shared" si="185"/>
        <v>10.637342908438058</v>
      </c>
      <c r="DK41" s="24" t="s">
        <v>1</v>
      </c>
      <c r="DL41" s="23">
        <f t="shared" si="186"/>
        <v>12.026250434907794</v>
      </c>
      <c r="DM41" s="8"/>
      <c r="DN41" s="19">
        <f>DN39+DN40</f>
        <v>200.5</v>
      </c>
      <c r="DO41" s="6" t="s">
        <v>1</v>
      </c>
      <c r="DP41" s="9">
        <f>DP40+DP39</f>
        <v>82425</v>
      </c>
      <c r="DQ41" s="23">
        <f t="shared" si="187"/>
        <v>-18.661257606490878</v>
      </c>
      <c r="DR41" s="24" t="s">
        <v>1</v>
      </c>
      <c r="DS41" s="23">
        <f t="shared" si="188"/>
        <v>-11.726907630522092</v>
      </c>
      <c r="DT41" s="8"/>
      <c r="DU41" s="19">
        <f>DU39+DU40</f>
        <v>193.5</v>
      </c>
      <c r="DV41" s="6" t="s">
        <v>1</v>
      </c>
      <c r="DW41" s="9">
        <f>DW40+DW39</f>
        <v>77625</v>
      </c>
      <c r="DX41" s="23">
        <f t="shared" si="189"/>
        <v>-3.4912718204488726</v>
      </c>
      <c r="DY41" s="24" t="s">
        <v>1</v>
      </c>
      <c r="DZ41" s="23">
        <f t="shared" si="190"/>
        <v>-5.8234758871701615</v>
      </c>
      <c r="EA41" s="8"/>
      <c r="EB41" s="19">
        <f>EB39+EB40</f>
        <v>196.4</v>
      </c>
      <c r="EC41" s="6" t="s">
        <v>1</v>
      </c>
      <c r="ED41" s="9">
        <f>ED40+ED39</f>
        <v>77465</v>
      </c>
      <c r="EE41" s="23">
        <f t="shared" si="191"/>
        <v>1.4987080103359176</v>
      </c>
      <c r="EF41" s="24" t="s">
        <v>1</v>
      </c>
      <c r="EG41" s="23">
        <f t="shared" si="192"/>
        <v>-0.2061191626409027</v>
      </c>
      <c r="EH41" s="8"/>
      <c r="EI41" s="19">
        <f>EI39+EI40</f>
        <v>78</v>
      </c>
      <c r="EJ41" s="6" t="s">
        <v>1</v>
      </c>
      <c r="EK41" s="9">
        <f>EK40+EK39</f>
        <v>24775</v>
      </c>
      <c r="EL41" s="23">
        <f t="shared" si="193"/>
        <v>-60.28513238289206</v>
      </c>
      <c r="EM41" s="24" t="s">
        <v>1</v>
      </c>
      <c r="EN41" s="23">
        <f t="shared" si="194"/>
        <v>-68.01781449686956</v>
      </c>
      <c r="EO41" s="8"/>
      <c r="EP41" s="19">
        <f>EP39+EP40</f>
        <v>78</v>
      </c>
      <c r="EQ41" s="6">
        <f>10850/EP41</f>
        <v>139.10256410256412</v>
      </c>
      <c r="ER41" s="9">
        <f>ER40+ER39</f>
        <v>24875</v>
      </c>
      <c r="ES41" s="23">
        <f t="shared" si="195"/>
        <v>0</v>
      </c>
      <c r="ET41" s="24" t="s">
        <v>1</v>
      </c>
      <c r="EU41" s="23">
        <f t="shared" si="196"/>
        <v>0.40363269424823045</v>
      </c>
      <c r="EV41" s="8"/>
      <c r="EW41" s="19">
        <f>EW39+EW40</f>
        <v>77.2</v>
      </c>
      <c r="EX41" s="10">
        <f t="shared" si="197"/>
        <v>338.47150259067354</v>
      </c>
      <c r="EY41" s="9">
        <f>EY40+EY39</f>
        <v>26130</v>
      </c>
      <c r="EZ41" s="9">
        <f>EZ40+EZ39</f>
        <v>24885</v>
      </c>
      <c r="FA41" s="23">
        <f t="shared" si="198"/>
        <v>-1.025641025641022</v>
      </c>
      <c r="FB41" s="24" t="s">
        <v>1</v>
      </c>
      <c r="FC41" s="23">
        <f t="shared" si="199"/>
        <v>0.040201005025124914</v>
      </c>
      <c r="FD41" s="8"/>
      <c r="FE41" s="19">
        <f>FE39+FE40</f>
        <v>78</v>
      </c>
      <c r="FF41" s="10">
        <f t="shared" si="200"/>
        <v>337.43589743589746</v>
      </c>
      <c r="FG41" s="9">
        <f>FG40+FG39</f>
        <v>26320</v>
      </c>
      <c r="FH41" s="9">
        <f>FH40+FH39</f>
        <v>25075</v>
      </c>
      <c r="FI41" s="23">
        <f t="shared" si="203"/>
        <v>1.036269430051803</v>
      </c>
      <c r="FJ41" s="23">
        <f t="shared" si="204"/>
        <v>-0.3059652428194113</v>
      </c>
      <c r="FK41" s="23">
        <f t="shared" si="204"/>
        <v>0.7271335629544637</v>
      </c>
      <c r="FL41" s="23">
        <f t="shared" si="205"/>
        <v>0.7635121559172262</v>
      </c>
      <c r="FM41" s="23"/>
      <c r="FN41" s="19">
        <f>FN39+FN40</f>
        <v>391.7</v>
      </c>
      <c r="FO41" s="6" t="s">
        <v>1</v>
      </c>
      <c r="FP41" s="19">
        <f>FP39+FP40</f>
        <v>105515</v>
      </c>
      <c r="FQ41" s="9">
        <f>FQ40+FQ39</f>
        <v>104105</v>
      </c>
      <c r="FR41" s="24" t="s">
        <v>1</v>
      </c>
      <c r="FS41" s="24" t="s">
        <v>1</v>
      </c>
      <c r="FT41" s="23">
        <f t="shared" si="53"/>
        <v>300.89285714285717</v>
      </c>
      <c r="FU41" s="23">
        <f t="shared" si="53"/>
        <v>315.17447657028913</v>
      </c>
      <c r="FV41" s="23"/>
      <c r="FW41" s="19">
        <f>FW39+FW40</f>
        <v>393.5</v>
      </c>
      <c r="FX41" s="6" t="s">
        <v>1</v>
      </c>
      <c r="FY41" s="19">
        <f>FY39+FY40</f>
        <v>96552</v>
      </c>
      <c r="FZ41" s="19">
        <f>FZ39+FZ40</f>
        <v>95090</v>
      </c>
      <c r="GA41" s="24" t="s">
        <v>1</v>
      </c>
      <c r="GB41" s="24" t="s">
        <v>1</v>
      </c>
      <c r="GC41" s="24" t="s">
        <v>1</v>
      </c>
      <c r="GD41" s="24" t="s">
        <v>1</v>
      </c>
      <c r="GE41" s="23"/>
      <c r="GF41" s="19">
        <f>GF39+GF40</f>
        <v>203.5</v>
      </c>
      <c r="GG41" s="6" t="s">
        <v>1</v>
      </c>
      <c r="GH41" s="19">
        <f>GH39+GH40</f>
        <v>64032</v>
      </c>
      <c r="GI41" s="19">
        <f>GI39+GI40</f>
        <v>62837</v>
      </c>
      <c r="GJ41" s="23">
        <f t="shared" si="208"/>
        <v>-48.284625158831005</v>
      </c>
      <c r="GK41" s="24" t="s">
        <v>1</v>
      </c>
      <c r="GL41" s="23">
        <f t="shared" si="57"/>
        <v>-33.681332339050456</v>
      </c>
      <c r="GM41" s="23">
        <f t="shared" si="57"/>
        <v>-33.918393101272486</v>
      </c>
      <c r="GN41" s="23"/>
      <c r="GO41" s="19">
        <f>GO39+GO40</f>
        <v>149.9</v>
      </c>
      <c r="GP41" s="6" t="s">
        <v>1</v>
      </c>
      <c r="GQ41" s="19">
        <f>GQ39+GQ40</f>
        <v>45006</v>
      </c>
      <c r="GR41" s="19">
        <f>GR39+GR40</f>
        <v>43991</v>
      </c>
      <c r="GS41" s="23">
        <f t="shared" si="209"/>
        <v>-26.339066339066335</v>
      </c>
      <c r="GT41" s="24" t="s">
        <v>1</v>
      </c>
      <c r="GU41" s="23">
        <f t="shared" si="59"/>
        <v>-29.713268365817086</v>
      </c>
      <c r="GV41" s="23">
        <f t="shared" si="60"/>
        <v>-29.991883762751243</v>
      </c>
      <c r="GW41" s="23"/>
      <c r="GX41" s="19">
        <f>GX39+GX40</f>
        <v>122</v>
      </c>
      <c r="GY41" s="6" t="s">
        <v>1</v>
      </c>
      <c r="GZ41" s="19">
        <f>GZ39+GZ40</f>
        <v>31854</v>
      </c>
      <c r="HA41" s="19">
        <f>HA39+HA40</f>
        <v>30681</v>
      </c>
      <c r="HB41" s="23">
        <f t="shared" si="210"/>
        <v>-18.612408272181455</v>
      </c>
      <c r="HC41" s="24" t="s">
        <v>1</v>
      </c>
      <c r="HD41" s="23">
        <f t="shared" si="62"/>
        <v>-29.222770297293692</v>
      </c>
      <c r="HE41" s="23">
        <f t="shared" si="63"/>
        <v>-30.256188765883934</v>
      </c>
      <c r="HF41" s="23"/>
      <c r="HG41" s="19">
        <f>HG39+HG40</f>
        <v>118</v>
      </c>
      <c r="HH41" s="6" t="s">
        <v>1</v>
      </c>
      <c r="HI41" s="19">
        <f>HI39+HI40</f>
        <v>31805</v>
      </c>
      <c r="HJ41" s="19">
        <f>HJ39+HJ40</f>
        <v>31086</v>
      </c>
      <c r="HK41" s="23">
        <f t="shared" si="211"/>
        <v>-3.278688524590166</v>
      </c>
      <c r="HL41" s="24" t="s">
        <v>1</v>
      </c>
      <c r="HM41" s="23">
        <f t="shared" si="105"/>
        <v>-0.1538268349343923</v>
      </c>
      <c r="HN41" s="23">
        <f t="shared" si="106"/>
        <v>1.3200352009386904</v>
      </c>
      <c r="HO41" s="23"/>
      <c r="HP41" s="19">
        <f>HP39+HP40</f>
        <v>118</v>
      </c>
      <c r="HQ41" s="6" t="s">
        <v>1</v>
      </c>
      <c r="HR41" s="19">
        <f>HR39+HR40</f>
        <v>29164</v>
      </c>
      <c r="HS41" s="19">
        <f>HS39+HS40</f>
        <v>28509</v>
      </c>
      <c r="HT41" s="23">
        <f t="shared" si="212"/>
        <v>0</v>
      </c>
      <c r="HU41" s="24" t="s">
        <v>1</v>
      </c>
      <c r="HV41" s="23">
        <f t="shared" si="64"/>
        <v>-8.303725829272125</v>
      </c>
      <c r="HW41" s="23">
        <f t="shared" si="65"/>
        <v>-8.289905423663384</v>
      </c>
      <c r="HX41" s="23"/>
      <c r="HY41" s="19">
        <f>HY39+HY40</f>
        <v>112</v>
      </c>
      <c r="HZ41" s="6" t="s">
        <v>1</v>
      </c>
      <c r="IA41" s="19">
        <f>IA39+IA40</f>
        <v>26364</v>
      </c>
      <c r="IB41" s="19">
        <f>IB39+IB40</f>
        <v>25764</v>
      </c>
      <c r="IC41" s="23">
        <f t="shared" si="213"/>
        <v>-5.0847457627118615</v>
      </c>
      <c r="ID41" s="24" t="s">
        <v>1</v>
      </c>
      <c r="IE41" s="23">
        <f t="shared" si="42"/>
        <v>-9.60087779454122</v>
      </c>
      <c r="IF41" s="23">
        <f t="shared" si="43"/>
        <v>-9.628538356308539</v>
      </c>
      <c r="IG41" s="23"/>
      <c r="IH41" s="1" t="s">
        <v>38</v>
      </c>
      <c r="II41" s="29">
        <f t="shared" si="44"/>
        <v>168.98000000000002</v>
      </c>
      <c r="IJ41" s="30">
        <f t="shared" si="45"/>
        <v>271.66998804304507</v>
      </c>
      <c r="IK41" s="29">
        <f t="shared" si="46"/>
        <v>46740</v>
      </c>
      <c r="IL41" s="25">
        <f t="shared" si="47"/>
        <v>-30.169250798911122</v>
      </c>
      <c r="IM41" s="25">
        <f t="shared" si="48"/>
        <v>-100</v>
      </c>
      <c r="IN41" s="25">
        <f t="shared" si="49"/>
        <v>-39.005134788189984</v>
      </c>
      <c r="IP41" s="30">
        <f>HP41*100/Italia!BR41</f>
        <v>4.448415346278976</v>
      </c>
      <c r="IQ41" s="30">
        <f>HR41*100/Italia!BT41</f>
        <v>4.510473503829355</v>
      </c>
      <c r="IR41" s="30">
        <f>HS41*100/Italia!BU41</f>
        <v>4.585482602380803</v>
      </c>
    </row>
    <row r="42" spans="1:252" ht="12">
      <c r="A42" s="1" t="s">
        <v>39</v>
      </c>
      <c r="B42" s="20">
        <v>120</v>
      </c>
      <c r="C42" s="10">
        <f>D42/B42</f>
        <v>35</v>
      </c>
      <c r="D42" s="11">
        <v>4200</v>
      </c>
      <c r="E42" s="9"/>
      <c r="F42" s="20">
        <v>126</v>
      </c>
      <c r="G42" s="10">
        <f>H42/120</f>
        <v>40</v>
      </c>
      <c r="H42" s="11">
        <v>4800</v>
      </c>
      <c r="I42" s="23">
        <f t="shared" si="214"/>
        <v>5</v>
      </c>
      <c r="J42" s="23">
        <f>G42*100/C42-100</f>
        <v>14.285714285714292</v>
      </c>
      <c r="K42" s="23">
        <f t="shared" si="215"/>
        <v>14.285714285714292</v>
      </c>
      <c r="L42" s="8"/>
      <c r="M42" s="20">
        <v>128</v>
      </c>
      <c r="N42" s="10">
        <f>5176/120</f>
        <v>43.13333333333333</v>
      </c>
      <c r="O42" s="11">
        <v>5200</v>
      </c>
      <c r="P42" s="23">
        <f t="shared" si="216"/>
        <v>1.5873015873015817</v>
      </c>
      <c r="Q42" s="23">
        <f>N42*100/G42-100</f>
        <v>7.833333333333329</v>
      </c>
      <c r="R42" s="23">
        <f t="shared" si="217"/>
        <v>8.333333333333329</v>
      </c>
      <c r="S42" s="8"/>
      <c r="T42" s="20">
        <v>130</v>
      </c>
      <c r="U42" s="10">
        <v>45</v>
      </c>
      <c r="V42" s="11">
        <v>5700</v>
      </c>
      <c r="W42" s="23">
        <f t="shared" si="161"/>
        <v>1.5625</v>
      </c>
      <c r="X42" s="23">
        <f>U42*100/N42-100</f>
        <v>4.327666151468321</v>
      </c>
      <c r="Y42" s="23">
        <f t="shared" si="162"/>
        <v>9.615384615384613</v>
      </c>
      <c r="Z42" s="8"/>
      <c r="AA42" s="20">
        <v>137</v>
      </c>
      <c r="AB42" s="10">
        <v>43.6</v>
      </c>
      <c r="AC42" s="11">
        <v>5600</v>
      </c>
      <c r="AD42" s="23">
        <f t="shared" si="163"/>
        <v>5.384615384615387</v>
      </c>
      <c r="AE42" s="23">
        <f>AB42*100/U42-100</f>
        <v>-3.1111111111111143</v>
      </c>
      <c r="AF42" s="23">
        <f t="shared" si="164"/>
        <v>-1.7543859649122737</v>
      </c>
      <c r="AG42" s="8"/>
      <c r="AH42" s="20">
        <v>140</v>
      </c>
      <c r="AI42" s="10">
        <v>43.4</v>
      </c>
      <c r="AJ42" s="11">
        <v>5800</v>
      </c>
      <c r="AK42" s="23">
        <f t="shared" si="165"/>
        <v>2.189781021897815</v>
      </c>
      <c r="AL42" s="23">
        <f>AI42*100/AB42-100</f>
        <v>-0.45871559633027914</v>
      </c>
      <c r="AM42" s="23">
        <f t="shared" si="166"/>
        <v>3.5714285714285694</v>
      </c>
      <c r="AN42" s="8"/>
      <c r="AO42" s="20">
        <v>149</v>
      </c>
      <c r="AP42" s="10">
        <f>5949/140</f>
        <v>42.49285714285714</v>
      </c>
      <c r="AQ42" s="11">
        <v>5700</v>
      </c>
      <c r="AR42" s="23">
        <f t="shared" si="167"/>
        <v>6.428571428571431</v>
      </c>
      <c r="AS42" s="23">
        <f>AP42*100/AI42-100</f>
        <v>-2.0901909150757234</v>
      </c>
      <c r="AT42" s="23">
        <f t="shared" si="168"/>
        <v>-1.7241379310344769</v>
      </c>
      <c r="AU42" s="8"/>
      <c r="AV42" s="20">
        <v>170</v>
      </c>
      <c r="AW42" s="10">
        <f>9233/154</f>
        <v>59.95454545454545</v>
      </c>
      <c r="AX42" s="11">
        <v>9065</v>
      </c>
      <c r="AY42" s="23">
        <f t="shared" si="169"/>
        <v>14.09395973154362</v>
      </c>
      <c r="AZ42" s="23">
        <f>AW42*100/AP42-100</f>
        <v>41.09323186479011</v>
      </c>
      <c r="BA42" s="23">
        <f t="shared" si="170"/>
        <v>59.03508771929825</v>
      </c>
      <c r="BB42" s="8"/>
      <c r="BC42" s="20">
        <v>158</v>
      </c>
      <c r="BD42" s="10">
        <f>7787/153</f>
        <v>50.89542483660131</v>
      </c>
      <c r="BE42" s="11">
        <v>7210</v>
      </c>
      <c r="BF42" s="23">
        <f t="shared" si="171"/>
        <v>-7.058823529411768</v>
      </c>
      <c r="BG42" s="23">
        <f>BD42*100/AW42-100</f>
        <v>-15.109981318784776</v>
      </c>
      <c r="BH42" s="23">
        <f t="shared" si="172"/>
        <v>-20.463320463320457</v>
      </c>
      <c r="BI42" s="8"/>
      <c r="BJ42" s="20">
        <v>159</v>
      </c>
      <c r="BK42" s="10">
        <v>54.3</v>
      </c>
      <c r="BL42" s="11">
        <v>8043</v>
      </c>
      <c r="BM42" s="23">
        <f t="shared" si="218"/>
        <v>0.6329113924050631</v>
      </c>
      <c r="BN42" s="23">
        <f>BK42*100/BD42-100</f>
        <v>6.689354051624505</v>
      </c>
      <c r="BO42" s="23">
        <f t="shared" si="173"/>
        <v>11.553398058252426</v>
      </c>
      <c r="BP42" s="8"/>
      <c r="BQ42" s="20">
        <v>143</v>
      </c>
      <c r="BR42" s="10">
        <v>50.8</v>
      </c>
      <c r="BS42" s="11">
        <v>6789</v>
      </c>
      <c r="BT42" s="23">
        <f t="shared" si="219"/>
        <v>-10.062893081761004</v>
      </c>
      <c r="BU42" s="23">
        <f>BR42*100/BK42-100</f>
        <v>-6.445672191528544</v>
      </c>
      <c r="BV42" s="23">
        <f t="shared" si="174"/>
        <v>-15.591197314434908</v>
      </c>
      <c r="BW42" s="8"/>
      <c r="BX42" s="20">
        <v>142</v>
      </c>
      <c r="BY42" s="10">
        <v>54.6</v>
      </c>
      <c r="BZ42" s="11">
        <v>7747</v>
      </c>
      <c r="CA42" s="23">
        <f t="shared" si="175"/>
        <v>-0.6993006993006929</v>
      </c>
      <c r="CB42" s="23">
        <f>BY42*100/BR42-100</f>
        <v>7.480314960629926</v>
      </c>
      <c r="CC42" s="23">
        <f t="shared" si="176"/>
        <v>14.111062012078364</v>
      </c>
      <c r="CD42" s="8"/>
      <c r="CE42" s="20">
        <v>150</v>
      </c>
      <c r="CF42" s="10">
        <v>29</v>
      </c>
      <c r="CG42" s="11">
        <v>4354</v>
      </c>
      <c r="CH42" s="23">
        <f t="shared" si="177"/>
        <v>5.633802816901408</v>
      </c>
      <c r="CI42" s="23">
        <f>CF42*100/BY42-100</f>
        <v>-46.88644688644689</v>
      </c>
      <c r="CJ42" s="23">
        <f t="shared" si="178"/>
        <v>-43.79759907060798</v>
      </c>
      <c r="CK42" s="8"/>
      <c r="CL42" s="20">
        <v>147</v>
      </c>
      <c r="CM42" s="10">
        <v>52</v>
      </c>
      <c r="CN42" s="11">
        <v>7640</v>
      </c>
      <c r="CO42" s="23">
        <f t="shared" si="179"/>
        <v>-2</v>
      </c>
      <c r="CP42" s="23">
        <f>CM42*100/CF42-100</f>
        <v>79.31034482758622</v>
      </c>
      <c r="CQ42" s="23">
        <f t="shared" si="180"/>
        <v>75.47083141938447</v>
      </c>
      <c r="CR42" s="8"/>
      <c r="CS42" s="20">
        <v>153</v>
      </c>
      <c r="CT42" s="10">
        <v>39.7</v>
      </c>
      <c r="CU42" s="11">
        <v>6070</v>
      </c>
      <c r="CV42" s="23">
        <f t="shared" si="181"/>
        <v>4.08163265306122</v>
      </c>
      <c r="CW42" s="23">
        <f>CT42*100/CM42-100</f>
        <v>-23.653846153846146</v>
      </c>
      <c r="CX42" s="23">
        <f t="shared" si="182"/>
        <v>-20.54973821989529</v>
      </c>
      <c r="CY42" s="8"/>
      <c r="CZ42" s="20">
        <v>154</v>
      </c>
      <c r="DA42" s="10">
        <v>42.4</v>
      </c>
      <c r="DB42" s="11">
        <v>6526</v>
      </c>
      <c r="DC42" s="23">
        <f t="shared" si="183"/>
        <v>0.6535947712418277</v>
      </c>
      <c r="DD42" s="23">
        <f>DA42*100/CT42-100</f>
        <v>6.80100755667506</v>
      </c>
      <c r="DE42" s="23">
        <f t="shared" si="184"/>
        <v>7.512355848434922</v>
      </c>
      <c r="DF42" s="8"/>
      <c r="DG42" s="20">
        <v>160</v>
      </c>
      <c r="DH42" s="10">
        <v>37.6</v>
      </c>
      <c r="DI42" s="11">
        <v>6015</v>
      </c>
      <c r="DJ42" s="23">
        <f t="shared" si="185"/>
        <v>3.896103896103895</v>
      </c>
      <c r="DK42" s="23">
        <f>DH42*100/DA42-100</f>
        <v>-11.320754716981128</v>
      </c>
      <c r="DL42" s="23">
        <f t="shared" si="186"/>
        <v>-7.8302175911737635</v>
      </c>
      <c r="DM42" s="8"/>
      <c r="DN42" s="20">
        <v>164</v>
      </c>
      <c r="DO42" s="10">
        <v>39</v>
      </c>
      <c r="DP42" s="11">
        <v>6402</v>
      </c>
      <c r="DQ42" s="23">
        <f t="shared" si="187"/>
        <v>2.5</v>
      </c>
      <c r="DR42" s="23">
        <f>DO42*100/DH42-100</f>
        <v>3.7234042553191387</v>
      </c>
      <c r="DS42" s="23">
        <f t="shared" si="188"/>
        <v>6.433915211970074</v>
      </c>
      <c r="DT42" s="8"/>
      <c r="DU42" s="20">
        <v>172</v>
      </c>
      <c r="DV42" s="10">
        <v>39</v>
      </c>
      <c r="DW42" s="11">
        <v>6710</v>
      </c>
      <c r="DX42" s="23">
        <f t="shared" si="189"/>
        <v>4.878048780487802</v>
      </c>
      <c r="DY42" s="23">
        <f>DV42*100/DO42-100</f>
        <v>0</v>
      </c>
      <c r="DZ42" s="23">
        <f t="shared" si="190"/>
        <v>4.81099656357388</v>
      </c>
      <c r="EA42" s="8"/>
      <c r="EB42" s="20">
        <v>165</v>
      </c>
      <c r="EC42" s="10">
        <v>34.4</v>
      </c>
      <c r="ED42" s="11">
        <v>5677</v>
      </c>
      <c r="EE42" s="23">
        <f t="shared" si="191"/>
        <v>-4.0697674418604635</v>
      </c>
      <c r="EF42" s="23">
        <f>EC42*100/DV42-100</f>
        <v>-11.794871794871796</v>
      </c>
      <c r="EG42" s="23">
        <f t="shared" si="192"/>
        <v>-15.394932935916543</v>
      </c>
      <c r="EH42" s="8"/>
      <c r="EI42" s="20">
        <v>174</v>
      </c>
      <c r="EJ42" s="10">
        <v>33.7</v>
      </c>
      <c r="EK42" s="11">
        <v>5868</v>
      </c>
      <c r="EL42" s="23">
        <f t="shared" si="193"/>
        <v>5.454545454545453</v>
      </c>
      <c r="EM42" s="23">
        <f>EJ42*100/EC42-100</f>
        <v>-2.0348837209302104</v>
      </c>
      <c r="EN42" s="23">
        <f t="shared" si="194"/>
        <v>3.3644530561916497</v>
      </c>
      <c r="EO42" s="8"/>
      <c r="EP42" s="20">
        <v>185</v>
      </c>
      <c r="EQ42" s="10">
        <v>34.2</v>
      </c>
      <c r="ER42" s="11">
        <v>6067</v>
      </c>
      <c r="ES42" s="23">
        <f t="shared" si="195"/>
        <v>6.3218390804597675</v>
      </c>
      <c r="ET42" s="23">
        <f>EQ42*100/EJ42-100</f>
        <v>1.4836795252225556</v>
      </c>
      <c r="EU42" s="23">
        <f t="shared" si="196"/>
        <v>3.3912747102931178</v>
      </c>
      <c r="EV42" s="8"/>
      <c r="EW42" s="20">
        <v>193</v>
      </c>
      <c r="EX42" s="10">
        <f t="shared" si="197"/>
        <v>37.19170984455958</v>
      </c>
      <c r="EY42" s="11">
        <v>7178</v>
      </c>
      <c r="EZ42" s="11">
        <v>7178</v>
      </c>
      <c r="FA42" s="23">
        <f t="shared" si="198"/>
        <v>4.324324324324323</v>
      </c>
      <c r="FB42" s="23">
        <f>EX42*100/EQ42-100</f>
        <v>8.747689603975374</v>
      </c>
      <c r="FC42" s="23">
        <f t="shared" si="199"/>
        <v>18.31218064941487</v>
      </c>
      <c r="FD42" s="8"/>
      <c r="FE42" s="20">
        <v>205</v>
      </c>
      <c r="FF42" s="10">
        <f t="shared" si="200"/>
        <v>39.170731707317074</v>
      </c>
      <c r="FG42" s="11">
        <v>8030</v>
      </c>
      <c r="FH42" s="11">
        <v>8030</v>
      </c>
      <c r="FI42" s="23">
        <f t="shared" si="203"/>
        <v>6.2176165803108745</v>
      </c>
      <c r="FJ42" s="23">
        <f t="shared" si="204"/>
        <v>5.32113707874332</v>
      </c>
      <c r="FK42" s="23">
        <f t="shared" si="204"/>
        <v>11.869601560323204</v>
      </c>
      <c r="FL42" s="23">
        <f t="shared" si="205"/>
        <v>11.869601560323204</v>
      </c>
      <c r="FM42" s="23"/>
      <c r="FN42" s="20">
        <v>207</v>
      </c>
      <c r="FO42" s="10">
        <f aca="true" t="shared" si="220" ref="FO42:FO105">FP42/FN42</f>
        <v>39.328502415458935</v>
      </c>
      <c r="FP42" s="11">
        <v>8141</v>
      </c>
      <c r="FQ42" s="11">
        <v>8141</v>
      </c>
      <c r="FR42" s="23">
        <f aca="true" t="shared" si="221" ref="FR42:FS45">FN42*100/FE42-100</f>
        <v>0.9756097560975547</v>
      </c>
      <c r="FS42" s="23">
        <f t="shared" si="221"/>
        <v>0.4027770257668948</v>
      </c>
      <c r="FT42" s="23">
        <f t="shared" si="53"/>
        <v>1.3823163138231678</v>
      </c>
      <c r="FU42" s="23">
        <f t="shared" si="53"/>
        <v>1.3823163138231678</v>
      </c>
      <c r="FV42" s="23"/>
      <c r="FW42" s="20">
        <v>197</v>
      </c>
      <c r="FX42" s="10">
        <f>FY42/FW42</f>
        <v>36.52284263959391</v>
      </c>
      <c r="FY42" s="20">
        <v>7195</v>
      </c>
      <c r="FZ42" s="20">
        <v>7195</v>
      </c>
      <c r="GA42" s="23">
        <f aca="true" t="shared" si="222" ref="GA42:GD45">FW42*100/FN42-100</f>
        <v>-4.830917874396135</v>
      </c>
      <c r="GB42" s="23">
        <f t="shared" si="222"/>
        <v>-7.133909514851496</v>
      </c>
      <c r="GC42" s="23">
        <f t="shared" si="222"/>
        <v>-11.620194079351435</v>
      </c>
      <c r="GD42" s="23">
        <f t="shared" si="222"/>
        <v>-11.620194079351435</v>
      </c>
      <c r="GE42" s="23"/>
      <c r="GF42" s="20">
        <v>180</v>
      </c>
      <c r="GG42" s="10">
        <f>GH42/GF42</f>
        <v>33.083333333333336</v>
      </c>
      <c r="GH42" s="20">
        <v>5955</v>
      </c>
      <c r="GI42" s="20">
        <v>5955</v>
      </c>
      <c r="GJ42" s="23">
        <f t="shared" si="208"/>
        <v>-8.629441624365484</v>
      </c>
      <c r="GK42" s="23">
        <f t="shared" si="208"/>
        <v>-9.417419504285391</v>
      </c>
      <c r="GL42" s="23">
        <f t="shared" si="57"/>
        <v>-17.234190410006946</v>
      </c>
      <c r="GM42" s="23">
        <f t="shared" si="57"/>
        <v>-17.234190410006946</v>
      </c>
      <c r="GN42" s="23"/>
      <c r="GO42" s="20">
        <v>130</v>
      </c>
      <c r="GP42" s="10">
        <f>GQ42/GO42</f>
        <v>38</v>
      </c>
      <c r="GQ42" s="20">
        <v>4940</v>
      </c>
      <c r="GR42" s="20">
        <v>4940</v>
      </c>
      <c r="GS42" s="23">
        <f t="shared" si="209"/>
        <v>-27.77777777777777</v>
      </c>
      <c r="GT42" s="23">
        <f t="shared" si="209"/>
        <v>14.861460957178835</v>
      </c>
      <c r="GU42" s="23">
        <f t="shared" si="59"/>
        <v>-17.04450041981528</v>
      </c>
      <c r="GV42" s="23">
        <f t="shared" si="60"/>
        <v>-17.04450041981528</v>
      </c>
      <c r="GW42" s="23"/>
      <c r="GX42" s="20">
        <v>68</v>
      </c>
      <c r="GY42" s="10">
        <f>GZ42/GX42</f>
        <v>27</v>
      </c>
      <c r="GZ42" s="20">
        <v>1836</v>
      </c>
      <c r="HA42" s="20">
        <v>1836</v>
      </c>
      <c r="HB42" s="23">
        <f t="shared" si="210"/>
        <v>-47.69230769230769</v>
      </c>
      <c r="HC42" s="23">
        <f>GY42*100/GP42-100</f>
        <v>-28.94736842105263</v>
      </c>
      <c r="HD42" s="23">
        <f t="shared" si="62"/>
        <v>-62.83400809716599</v>
      </c>
      <c r="HE42" s="23">
        <f t="shared" si="63"/>
        <v>-62.83400809716599</v>
      </c>
      <c r="HF42" s="23"/>
      <c r="HG42" s="20">
        <v>60</v>
      </c>
      <c r="HH42" s="10">
        <f>HI42/HG42</f>
        <v>34</v>
      </c>
      <c r="HI42" s="20">
        <v>2040</v>
      </c>
      <c r="HJ42" s="20">
        <v>2040</v>
      </c>
      <c r="HK42" s="23">
        <f t="shared" si="211"/>
        <v>-11.764705882352942</v>
      </c>
      <c r="HL42" s="23">
        <f>HH42*100/GY42-100</f>
        <v>25.925925925925924</v>
      </c>
      <c r="HM42" s="23">
        <f t="shared" si="105"/>
        <v>11.111111111111114</v>
      </c>
      <c r="HN42" s="23">
        <f t="shared" si="106"/>
        <v>11.111111111111114</v>
      </c>
      <c r="HO42" s="23"/>
      <c r="HP42" s="20">
        <v>85</v>
      </c>
      <c r="HQ42" s="10">
        <f>HR42/HP42</f>
        <v>38.84705882352941</v>
      </c>
      <c r="HR42" s="20">
        <v>3302</v>
      </c>
      <c r="HS42" s="20">
        <v>3302</v>
      </c>
      <c r="HT42" s="23">
        <f t="shared" si="212"/>
        <v>41.66666666666666</v>
      </c>
      <c r="HU42" s="23">
        <f>HQ42*100/HH42-100</f>
        <v>14.256055363321792</v>
      </c>
      <c r="HV42" s="23">
        <f t="shared" si="64"/>
        <v>61.86274509803923</v>
      </c>
      <c r="HW42" s="23">
        <f t="shared" si="65"/>
        <v>61.86274509803923</v>
      </c>
      <c r="HX42" s="23"/>
      <c r="HY42" s="20">
        <v>83</v>
      </c>
      <c r="HZ42" s="10">
        <f>IA42/HY42</f>
        <v>41.9277108433735</v>
      </c>
      <c r="IA42" s="20">
        <v>3480</v>
      </c>
      <c r="IB42" s="20">
        <v>3480</v>
      </c>
      <c r="IC42" s="23">
        <f t="shared" si="213"/>
        <v>-2.352941176470594</v>
      </c>
      <c r="ID42" s="23">
        <f>HZ42*100/HQ42-100</f>
        <v>7.930206592572603</v>
      </c>
      <c r="IE42" s="23">
        <f t="shared" si="42"/>
        <v>5.390672319806171</v>
      </c>
      <c r="IF42" s="23">
        <f t="shared" si="43"/>
        <v>5.390672319806171</v>
      </c>
      <c r="IG42" s="23"/>
      <c r="IH42" s="1" t="s">
        <v>39</v>
      </c>
      <c r="II42" s="29">
        <f t="shared" si="44"/>
        <v>159.9</v>
      </c>
      <c r="IJ42" s="30">
        <f t="shared" si="45"/>
        <v>35.219711994026284</v>
      </c>
      <c r="IK42" s="29">
        <f t="shared" si="46"/>
        <v>5725</v>
      </c>
      <c r="IL42" s="25">
        <f t="shared" si="47"/>
        <v>-46.84177611006879</v>
      </c>
      <c r="IM42" s="25">
        <f t="shared" si="48"/>
        <v>10.299195036343207</v>
      </c>
      <c r="IN42" s="25">
        <f t="shared" si="49"/>
        <v>-42.3231441048035</v>
      </c>
      <c r="IP42" s="30">
        <f>HP42*100/Italia!BR42</f>
        <v>0.21134289763544592</v>
      </c>
      <c r="IQ42" s="30">
        <f>HR42*100/Italia!BT42</f>
        <v>0.08925407434577871</v>
      </c>
      <c r="IR42" s="30">
        <f>HS42*100/Italia!BU42</f>
        <v>0.09458469670022007</v>
      </c>
    </row>
    <row r="43" spans="1:252" ht="12">
      <c r="A43" s="1" t="s">
        <v>40</v>
      </c>
      <c r="B43" s="20">
        <v>75</v>
      </c>
      <c r="C43" s="10">
        <f>D43/B43</f>
        <v>280</v>
      </c>
      <c r="D43" s="11">
        <v>21000</v>
      </c>
      <c r="E43" s="9"/>
      <c r="F43" s="20">
        <v>85</v>
      </c>
      <c r="G43" s="10">
        <v>288.8</v>
      </c>
      <c r="H43" s="11">
        <v>24500</v>
      </c>
      <c r="I43" s="23">
        <f t="shared" si="214"/>
        <v>13.333333333333329</v>
      </c>
      <c r="J43" s="23">
        <f>G43*100/C43-100</f>
        <v>3.142857142857139</v>
      </c>
      <c r="K43" s="23">
        <f t="shared" si="215"/>
        <v>16.66666666666667</v>
      </c>
      <c r="L43" s="8"/>
      <c r="M43" s="20">
        <v>69</v>
      </c>
      <c r="N43" s="10">
        <v>274.8</v>
      </c>
      <c r="O43" s="11">
        <v>19000</v>
      </c>
      <c r="P43" s="23">
        <f t="shared" si="216"/>
        <v>-18.82352941176471</v>
      </c>
      <c r="Q43" s="23">
        <f>N43*100/G43-100</f>
        <v>-4.847645429362885</v>
      </c>
      <c r="R43" s="23">
        <f t="shared" si="217"/>
        <v>-22.448979591836732</v>
      </c>
      <c r="S43" s="8"/>
      <c r="T43" s="20">
        <v>87</v>
      </c>
      <c r="U43" s="10">
        <v>275.7</v>
      </c>
      <c r="V43" s="11">
        <v>23800</v>
      </c>
      <c r="W43" s="23">
        <f t="shared" si="161"/>
        <v>26.086956521739125</v>
      </c>
      <c r="X43" s="23">
        <f>U43*100/N43-100</f>
        <v>0.32751091703056545</v>
      </c>
      <c r="Y43" s="23">
        <f t="shared" si="162"/>
        <v>25.263157894736835</v>
      </c>
      <c r="Z43" s="8"/>
      <c r="AA43" s="20">
        <v>94</v>
      </c>
      <c r="AB43" s="10">
        <v>273.7</v>
      </c>
      <c r="AC43" s="11">
        <v>24700</v>
      </c>
      <c r="AD43" s="23">
        <f t="shared" si="163"/>
        <v>8.045977011494259</v>
      </c>
      <c r="AE43" s="23">
        <f>AB43*100/U43-100</f>
        <v>-0.7254261878853754</v>
      </c>
      <c r="AF43" s="23">
        <f t="shared" si="164"/>
        <v>3.7815126050420105</v>
      </c>
      <c r="AG43" s="8"/>
      <c r="AH43" s="20">
        <v>90</v>
      </c>
      <c r="AI43" s="10">
        <v>280.9</v>
      </c>
      <c r="AJ43" s="11">
        <v>24000</v>
      </c>
      <c r="AK43" s="23">
        <f t="shared" si="165"/>
        <v>-4.255319148936167</v>
      </c>
      <c r="AL43" s="23">
        <f>AI43*100/AB43-100</f>
        <v>2.6306174643770532</v>
      </c>
      <c r="AM43" s="23">
        <f t="shared" si="166"/>
        <v>-2.8340080971659916</v>
      </c>
      <c r="AN43" s="8"/>
      <c r="AO43" s="20">
        <v>86</v>
      </c>
      <c r="AP43" s="10">
        <v>282.7</v>
      </c>
      <c r="AQ43" s="11">
        <v>23800</v>
      </c>
      <c r="AR43" s="23">
        <f t="shared" si="167"/>
        <v>-4.444444444444443</v>
      </c>
      <c r="AS43" s="23">
        <f>AP43*100/AI43-100</f>
        <v>0.64079743681026</v>
      </c>
      <c r="AT43" s="23">
        <f t="shared" si="168"/>
        <v>-0.8333333333333286</v>
      </c>
      <c r="AU43" s="8"/>
      <c r="AV43" s="20">
        <v>81</v>
      </c>
      <c r="AW43" s="10">
        <v>287.9</v>
      </c>
      <c r="AX43" s="11">
        <v>22485</v>
      </c>
      <c r="AY43" s="23">
        <f t="shared" si="169"/>
        <v>-5.813953488372093</v>
      </c>
      <c r="AZ43" s="23">
        <f>AW43*100/AP43-100</f>
        <v>1.8394057304563063</v>
      </c>
      <c r="BA43" s="23">
        <f t="shared" si="170"/>
        <v>-5.525210084033617</v>
      </c>
      <c r="BB43" s="8"/>
      <c r="BC43" s="20">
        <v>76</v>
      </c>
      <c r="BD43" s="10">
        <v>282.2</v>
      </c>
      <c r="BE43" s="11">
        <v>20873</v>
      </c>
      <c r="BF43" s="23">
        <f t="shared" si="171"/>
        <v>-6.172839506172835</v>
      </c>
      <c r="BG43" s="23">
        <f>BD43*100/AW43-100</f>
        <v>-1.9798541160124898</v>
      </c>
      <c r="BH43" s="23">
        <f t="shared" si="172"/>
        <v>-7.16922392706249</v>
      </c>
      <c r="BI43" s="8"/>
      <c r="BJ43" s="20">
        <v>81</v>
      </c>
      <c r="BK43" s="10">
        <v>287.16</v>
      </c>
      <c r="BL43" s="11">
        <v>22574</v>
      </c>
      <c r="BM43" s="23">
        <f t="shared" si="218"/>
        <v>6.578947368421055</v>
      </c>
      <c r="BN43" s="23">
        <f>BK43*100/BD43-100</f>
        <v>1.757618710134679</v>
      </c>
      <c r="BO43" s="23">
        <f t="shared" si="173"/>
        <v>8.149283763713882</v>
      </c>
      <c r="BP43" s="8"/>
      <c r="BQ43" s="20">
        <v>80</v>
      </c>
      <c r="BR43" s="10">
        <v>284.9</v>
      </c>
      <c r="BS43" s="11">
        <v>22187</v>
      </c>
      <c r="BT43" s="23">
        <f t="shared" si="219"/>
        <v>-1.2345679012345698</v>
      </c>
      <c r="BU43" s="23">
        <f>BR43*100/BK43-100</f>
        <v>-0.7870176904861665</v>
      </c>
      <c r="BV43" s="23">
        <f t="shared" si="174"/>
        <v>-1.7143616550013263</v>
      </c>
      <c r="BW43" s="8"/>
      <c r="BX43" s="20">
        <v>75</v>
      </c>
      <c r="BY43" s="10">
        <v>284.4</v>
      </c>
      <c r="BZ43" s="11">
        <v>20713</v>
      </c>
      <c r="CA43" s="23">
        <f t="shared" si="175"/>
        <v>-6.25</v>
      </c>
      <c r="CB43" s="23">
        <f>BY43*100/BR43-100</f>
        <v>-0.17550017550017571</v>
      </c>
      <c r="CC43" s="23">
        <f t="shared" si="176"/>
        <v>-6.643529995042144</v>
      </c>
      <c r="CD43" s="8"/>
      <c r="CE43" s="20">
        <v>68</v>
      </c>
      <c r="CF43" s="10">
        <v>240.4</v>
      </c>
      <c r="CG43" s="11">
        <v>16350</v>
      </c>
      <c r="CH43" s="23">
        <f t="shared" si="177"/>
        <v>-9.333333333333329</v>
      </c>
      <c r="CI43" s="23">
        <f>CF43*100/BY43-100</f>
        <v>-15.471167369901536</v>
      </c>
      <c r="CJ43" s="23">
        <f t="shared" si="178"/>
        <v>-21.064066045478683</v>
      </c>
      <c r="CK43" s="8"/>
      <c r="CL43" s="20">
        <v>70</v>
      </c>
      <c r="CM43" s="10">
        <v>222.9</v>
      </c>
      <c r="CN43" s="11">
        <v>15600</v>
      </c>
      <c r="CO43" s="23">
        <f t="shared" si="179"/>
        <v>2.941176470588232</v>
      </c>
      <c r="CP43" s="23">
        <f>CM43*100/CF43-100</f>
        <v>-7.279534109816979</v>
      </c>
      <c r="CQ43" s="23">
        <f t="shared" si="180"/>
        <v>-4.587155963302749</v>
      </c>
      <c r="CR43" s="8"/>
      <c r="CS43" s="20">
        <v>71</v>
      </c>
      <c r="CT43" s="10">
        <v>224.8</v>
      </c>
      <c r="CU43" s="11">
        <v>15958</v>
      </c>
      <c r="CV43" s="23">
        <f t="shared" si="181"/>
        <v>1.4285714285714306</v>
      </c>
      <c r="CW43" s="23">
        <f>CT43*100/CM43-100</f>
        <v>0.8524001794526725</v>
      </c>
      <c r="CX43" s="23">
        <f t="shared" si="182"/>
        <v>2.2948717948717956</v>
      </c>
      <c r="CY43" s="8"/>
      <c r="CZ43" s="20">
        <v>73</v>
      </c>
      <c r="DA43" s="10">
        <v>242.5</v>
      </c>
      <c r="DB43" s="11">
        <v>17705</v>
      </c>
      <c r="DC43" s="23">
        <f t="shared" si="183"/>
        <v>2.816901408450704</v>
      </c>
      <c r="DD43" s="23">
        <f>DA43*100/CT43-100</f>
        <v>7.873665480427036</v>
      </c>
      <c r="DE43" s="23">
        <f t="shared" si="184"/>
        <v>10.947487153778667</v>
      </c>
      <c r="DF43" s="8"/>
      <c r="DG43" s="20" t="s">
        <v>1</v>
      </c>
      <c r="DH43" s="10" t="s">
        <v>1</v>
      </c>
      <c r="DI43" s="11" t="s">
        <v>1</v>
      </c>
      <c r="DJ43" s="23">
        <f t="shared" si="185"/>
        <v>-100</v>
      </c>
      <c r="DK43" s="23">
        <f>DH43*100/DA43-100</f>
        <v>-100</v>
      </c>
      <c r="DL43" s="23">
        <f t="shared" si="186"/>
        <v>-100</v>
      </c>
      <c r="DM43" s="8"/>
      <c r="DN43" s="20" t="s">
        <v>1</v>
      </c>
      <c r="DO43" s="10" t="s">
        <v>1</v>
      </c>
      <c r="DP43" s="11" t="s">
        <v>1</v>
      </c>
      <c r="DQ43" s="23" t="e">
        <f t="shared" si="187"/>
        <v>#DIV/0!</v>
      </c>
      <c r="DR43" s="23" t="e">
        <f>DO43*100/DH43-100</f>
        <v>#DIV/0!</v>
      </c>
      <c r="DS43" s="23" t="e">
        <f t="shared" si="188"/>
        <v>#DIV/0!</v>
      </c>
      <c r="DT43" s="8"/>
      <c r="DU43" s="20" t="s">
        <v>1</v>
      </c>
      <c r="DV43" s="10" t="s">
        <v>1</v>
      </c>
      <c r="DW43" s="11" t="s">
        <v>1</v>
      </c>
      <c r="DX43" s="23" t="e">
        <f t="shared" si="189"/>
        <v>#DIV/0!</v>
      </c>
      <c r="DY43" s="23" t="e">
        <f>DV43*100/DO43-100</f>
        <v>#DIV/0!</v>
      </c>
      <c r="DZ43" s="23" t="e">
        <f t="shared" si="190"/>
        <v>#DIV/0!</v>
      </c>
      <c r="EA43" s="8"/>
      <c r="EB43" s="20"/>
      <c r="EC43" s="10"/>
      <c r="ED43" s="11"/>
      <c r="EE43" s="23" t="e">
        <f t="shared" si="191"/>
        <v>#DIV/0!</v>
      </c>
      <c r="EF43" s="23" t="e">
        <f>EC43*100/DV43-100</f>
        <v>#DIV/0!</v>
      </c>
      <c r="EG43" s="23" t="e">
        <f t="shared" si="192"/>
        <v>#DIV/0!</v>
      </c>
      <c r="EH43" s="8"/>
      <c r="EI43" s="20"/>
      <c r="EJ43" s="10"/>
      <c r="EK43" s="11"/>
      <c r="EL43" s="23" t="e">
        <f t="shared" si="193"/>
        <v>#DIV/0!</v>
      </c>
      <c r="EM43" s="23" t="e">
        <f>EJ43*100/EC43-100</f>
        <v>#DIV/0!</v>
      </c>
      <c r="EN43" s="23" t="e">
        <f t="shared" si="194"/>
        <v>#DIV/0!</v>
      </c>
      <c r="EO43" s="8"/>
      <c r="EP43" s="20"/>
      <c r="EQ43" s="10"/>
      <c r="ER43" s="11"/>
      <c r="ES43" s="23" t="e">
        <f t="shared" si="195"/>
        <v>#DIV/0!</v>
      </c>
      <c r="ET43" s="23" t="e">
        <f>EQ43*100/EJ43-100</f>
        <v>#DIV/0!</v>
      </c>
      <c r="EU43" s="23" t="e">
        <f t="shared" si="196"/>
        <v>#DIV/0!</v>
      </c>
      <c r="EV43" s="8"/>
      <c r="EW43" s="20" t="s">
        <v>1</v>
      </c>
      <c r="EX43" s="10" t="s">
        <v>1</v>
      </c>
      <c r="EY43" s="10" t="s">
        <v>1</v>
      </c>
      <c r="EZ43" s="11" t="s">
        <v>1</v>
      </c>
      <c r="FA43" s="11" t="s">
        <v>1</v>
      </c>
      <c r="FB43" s="11" t="s">
        <v>1</v>
      </c>
      <c r="FC43" s="11" t="s">
        <v>1</v>
      </c>
      <c r="FD43" s="8"/>
      <c r="FE43" s="33" t="s">
        <v>1</v>
      </c>
      <c r="FF43" s="33" t="s">
        <v>1</v>
      </c>
      <c r="FG43" s="33" t="s">
        <v>1</v>
      </c>
      <c r="FH43" s="33" t="s">
        <v>1</v>
      </c>
      <c r="FI43" s="33" t="s">
        <v>1</v>
      </c>
      <c r="FJ43" s="33" t="s">
        <v>1</v>
      </c>
      <c r="FK43" s="33" t="s">
        <v>1</v>
      </c>
      <c r="FL43" s="33" t="s">
        <v>1</v>
      </c>
      <c r="FM43" s="33"/>
      <c r="FN43" s="20"/>
      <c r="FO43" s="10" t="e">
        <f t="shared" si="220"/>
        <v>#DIV/0!</v>
      </c>
      <c r="FP43" s="11"/>
      <c r="FQ43" s="11"/>
      <c r="FR43" s="23" t="e">
        <f t="shared" si="221"/>
        <v>#DIV/0!</v>
      </c>
      <c r="FS43" s="23" t="e">
        <f t="shared" si="221"/>
        <v>#DIV/0!</v>
      </c>
      <c r="FT43" s="23" t="e">
        <f t="shared" si="53"/>
        <v>#DIV/0!</v>
      </c>
      <c r="FU43" s="23" t="e">
        <f t="shared" si="53"/>
        <v>#DIV/0!</v>
      </c>
      <c r="FV43" s="23"/>
      <c r="FW43" s="20"/>
      <c r="FX43" s="10" t="e">
        <f>FY43/FW43</f>
        <v>#DIV/0!</v>
      </c>
      <c r="FY43" s="20"/>
      <c r="FZ43" s="20"/>
      <c r="GA43" s="23" t="e">
        <f t="shared" si="222"/>
        <v>#DIV/0!</v>
      </c>
      <c r="GB43" s="23" t="e">
        <f t="shared" si="222"/>
        <v>#DIV/0!</v>
      </c>
      <c r="GC43" s="23" t="e">
        <f t="shared" si="222"/>
        <v>#DIV/0!</v>
      </c>
      <c r="GD43" s="23" t="e">
        <f t="shared" si="222"/>
        <v>#DIV/0!</v>
      </c>
      <c r="GE43" s="23"/>
      <c r="GF43" s="20"/>
      <c r="GG43" s="10" t="e">
        <f>GH43/GF43</f>
        <v>#DIV/0!</v>
      </c>
      <c r="GH43" s="20"/>
      <c r="GI43" s="20"/>
      <c r="GJ43" s="23" t="e">
        <f t="shared" si="208"/>
        <v>#DIV/0!</v>
      </c>
      <c r="GK43" s="23" t="e">
        <f t="shared" si="208"/>
        <v>#DIV/0!</v>
      </c>
      <c r="GL43" s="23" t="e">
        <f t="shared" si="57"/>
        <v>#DIV/0!</v>
      </c>
      <c r="GM43" s="23" t="e">
        <f t="shared" si="57"/>
        <v>#DIV/0!</v>
      </c>
      <c r="GN43" s="23"/>
      <c r="GO43" s="20"/>
      <c r="GP43" s="10" t="e">
        <f>GQ43/GO43</f>
        <v>#DIV/0!</v>
      </c>
      <c r="GQ43" s="20"/>
      <c r="GR43" s="20"/>
      <c r="GS43" s="23" t="e">
        <f t="shared" si="209"/>
        <v>#DIV/0!</v>
      </c>
      <c r="GT43" s="23" t="e">
        <f t="shared" si="209"/>
        <v>#DIV/0!</v>
      </c>
      <c r="GU43" s="23" t="e">
        <f t="shared" si="59"/>
        <v>#DIV/0!</v>
      </c>
      <c r="GV43" s="23" t="e">
        <f t="shared" si="60"/>
        <v>#DIV/0!</v>
      </c>
      <c r="GW43" s="23"/>
      <c r="GX43" s="20"/>
      <c r="GY43" s="10" t="e">
        <f>GZ43/GX43</f>
        <v>#DIV/0!</v>
      </c>
      <c r="GZ43" s="20"/>
      <c r="HA43" s="20"/>
      <c r="HB43" s="23" t="e">
        <f t="shared" si="210"/>
        <v>#DIV/0!</v>
      </c>
      <c r="HC43" s="23" t="e">
        <f>GY43*100/GP43-100</f>
        <v>#DIV/0!</v>
      </c>
      <c r="HD43" s="23" t="e">
        <f t="shared" si="62"/>
        <v>#DIV/0!</v>
      </c>
      <c r="HE43" s="23" t="e">
        <f t="shared" si="63"/>
        <v>#DIV/0!</v>
      </c>
      <c r="HF43" s="23"/>
      <c r="HG43" s="20"/>
      <c r="HH43" s="10" t="e">
        <f>HI43/HG43</f>
        <v>#DIV/0!</v>
      </c>
      <c r="HI43" s="20"/>
      <c r="HJ43" s="20"/>
      <c r="HK43" s="23" t="e">
        <f t="shared" si="211"/>
        <v>#DIV/0!</v>
      </c>
      <c r="HL43" s="23" t="e">
        <f>HH43*100/GY43-100</f>
        <v>#DIV/0!</v>
      </c>
      <c r="HM43" s="23" t="e">
        <f t="shared" si="105"/>
        <v>#DIV/0!</v>
      </c>
      <c r="HN43" s="23" t="e">
        <f t="shared" si="106"/>
        <v>#DIV/0!</v>
      </c>
      <c r="HO43" s="23"/>
      <c r="HP43" s="20"/>
      <c r="HQ43" s="10" t="e">
        <f>HR43/HP43</f>
        <v>#DIV/0!</v>
      </c>
      <c r="HR43" s="20"/>
      <c r="HS43" s="20"/>
      <c r="HT43" s="23" t="e">
        <f t="shared" si="212"/>
        <v>#DIV/0!</v>
      </c>
      <c r="HU43" s="23" t="e">
        <f>HQ43*100/HH43-100</f>
        <v>#DIV/0!</v>
      </c>
      <c r="HV43" s="23" t="e">
        <f t="shared" si="64"/>
        <v>#DIV/0!</v>
      </c>
      <c r="HW43" s="23" t="e">
        <f t="shared" si="65"/>
        <v>#DIV/0!</v>
      </c>
      <c r="HX43" s="23"/>
      <c r="HY43" s="20"/>
      <c r="HZ43" s="10" t="e">
        <f>IA43/HY43</f>
        <v>#DIV/0!</v>
      </c>
      <c r="IA43" s="20"/>
      <c r="IB43" s="20"/>
      <c r="IC43" s="23" t="e">
        <f t="shared" si="213"/>
        <v>#DIV/0!</v>
      </c>
      <c r="ID43" s="23" t="e">
        <f>HZ43*100/HQ43-100</f>
        <v>#DIV/0!</v>
      </c>
      <c r="IE43" s="23" t="e">
        <f t="shared" si="42"/>
        <v>#DIV/0!</v>
      </c>
      <c r="IF43" s="23" t="e">
        <f t="shared" si="43"/>
        <v>#DIV/0!</v>
      </c>
      <c r="IG43" s="23"/>
      <c r="IH43" s="1" t="s">
        <v>40</v>
      </c>
      <c r="II43" s="29" t="e">
        <f t="shared" si="44"/>
        <v>#DIV/0!</v>
      </c>
      <c r="IJ43" s="30" t="e">
        <f t="shared" si="45"/>
        <v>#DIV/0!</v>
      </c>
      <c r="IK43" s="29" t="e">
        <f t="shared" si="46"/>
        <v>#DIV/0!</v>
      </c>
      <c r="IL43" s="25" t="e">
        <f t="shared" si="47"/>
        <v>#DIV/0!</v>
      </c>
      <c r="IM43" s="25" t="e">
        <f t="shared" si="48"/>
        <v>#DIV/0!</v>
      </c>
      <c r="IN43" s="25" t="e">
        <f t="shared" si="49"/>
        <v>#DIV/0!</v>
      </c>
      <c r="IP43" s="30" t="e">
        <f>HP43*100/Italia!BR43</f>
        <v>#DIV/0!</v>
      </c>
      <c r="IQ43" s="30" t="e">
        <f>HR43*100/Italia!BT43</f>
        <v>#DIV/0!</v>
      </c>
      <c r="IR43" s="30" t="e">
        <f>HS43*100/Italia!BU43</f>
        <v>#DIV/0!</v>
      </c>
    </row>
    <row r="44" spans="1:252" ht="12">
      <c r="A44" s="1" t="s">
        <v>41</v>
      </c>
      <c r="B44" s="20">
        <v>132</v>
      </c>
      <c r="C44" s="10">
        <v>365.5</v>
      </c>
      <c r="D44" s="11">
        <v>47800</v>
      </c>
      <c r="E44" s="9"/>
      <c r="F44" s="20">
        <v>208</v>
      </c>
      <c r="G44" s="10">
        <f>107480/F44</f>
        <v>516.7307692307693</v>
      </c>
      <c r="H44" s="11">
        <v>103500</v>
      </c>
      <c r="I44" s="23">
        <f t="shared" si="214"/>
        <v>57.575757575757564</v>
      </c>
      <c r="J44" s="23">
        <f>G44*100/C44-100</f>
        <v>41.37640745027889</v>
      </c>
      <c r="K44" s="23">
        <f t="shared" si="215"/>
        <v>116.52719665271965</v>
      </c>
      <c r="L44" s="8"/>
      <c r="M44" s="20">
        <v>317</v>
      </c>
      <c r="N44" s="10">
        <v>507.1</v>
      </c>
      <c r="O44" s="11">
        <v>154500</v>
      </c>
      <c r="P44" s="23">
        <f t="shared" si="216"/>
        <v>52.40384615384616</v>
      </c>
      <c r="Q44" s="23">
        <f>N44*100/G44-100</f>
        <v>-1.8637886118347637</v>
      </c>
      <c r="R44" s="23">
        <f t="shared" si="217"/>
        <v>49.27536231884059</v>
      </c>
      <c r="S44" s="8"/>
      <c r="T44" s="20">
        <v>320</v>
      </c>
      <c r="U44" s="10">
        <v>524.2</v>
      </c>
      <c r="V44" s="11">
        <v>160000</v>
      </c>
      <c r="W44" s="23">
        <f t="shared" si="161"/>
        <v>0.9463722397476317</v>
      </c>
      <c r="X44" s="23">
        <f>U44*100/N44-100</f>
        <v>3.372115953460863</v>
      </c>
      <c r="Y44" s="23">
        <f t="shared" si="162"/>
        <v>3.5598705501618184</v>
      </c>
      <c r="Z44" s="8"/>
      <c r="AA44" s="20">
        <v>1032</v>
      </c>
      <c r="AB44" s="10">
        <v>543</v>
      </c>
      <c r="AC44" s="11">
        <v>559000</v>
      </c>
      <c r="AD44" s="23">
        <f t="shared" si="163"/>
        <v>222.5</v>
      </c>
      <c r="AE44" s="23">
        <f>AB44*100/U44-100</f>
        <v>3.5864173979397123</v>
      </c>
      <c r="AF44" s="23">
        <f t="shared" si="164"/>
        <v>249.375</v>
      </c>
      <c r="AG44" s="8"/>
      <c r="AH44" s="20">
        <v>635</v>
      </c>
      <c r="AI44" s="10">
        <v>613</v>
      </c>
      <c r="AJ44" s="11">
        <v>370000</v>
      </c>
      <c r="AK44" s="23">
        <f t="shared" si="165"/>
        <v>-38.468992248062015</v>
      </c>
      <c r="AL44" s="23">
        <f>AI44*100/AB44-100</f>
        <v>12.891344383057088</v>
      </c>
      <c r="AM44" s="23">
        <f t="shared" si="166"/>
        <v>-33.810375670840784</v>
      </c>
      <c r="AN44" s="8"/>
      <c r="AO44" s="20">
        <v>881</v>
      </c>
      <c r="AP44" s="10">
        <v>541.9</v>
      </c>
      <c r="AQ44" s="11">
        <v>430500</v>
      </c>
      <c r="AR44" s="23">
        <f t="shared" si="167"/>
        <v>38.74015748031496</v>
      </c>
      <c r="AS44" s="23">
        <f>AP44*100/AI44-100</f>
        <v>-11.598694942903748</v>
      </c>
      <c r="AT44" s="23">
        <f t="shared" si="168"/>
        <v>16.351351351351354</v>
      </c>
      <c r="AU44" s="8"/>
      <c r="AV44" s="20">
        <v>927</v>
      </c>
      <c r="AW44" s="10">
        <v>562.6</v>
      </c>
      <c r="AX44" s="11">
        <v>381868</v>
      </c>
      <c r="AY44" s="23">
        <f t="shared" si="169"/>
        <v>5.221339387060155</v>
      </c>
      <c r="AZ44" s="23">
        <f>AW44*100/AP44-100</f>
        <v>3.8198929691825043</v>
      </c>
      <c r="BA44" s="23">
        <f t="shared" si="170"/>
        <v>-11.296631823461098</v>
      </c>
      <c r="BB44" s="8"/>
      <c r="BC44" s="20">
        <v>683</v>
      </c>
      <c r="BD44" s="10">
        <v>541.6</v>
      </c>
      <c r="BE44" s="11">
        <v>323624</v>
      </c>
      <c r="BF44" s="23">
        <f t="shared" si="171"/>
        <v>-26.321467098166124</v>
      </c>
      <c r="BG44" s="23">
        <f>BD44*100/AW44-100</f>
        <v>-3.7326697476004256</v>
      </c>
      <c r="BH44" s="23">
        <f t="shared" si="172"/>
        <v>-15.252390878523471</v>
      </c>
      <c r="BI44" s="8"/>
      <c r="BJ44" s="20">
        <v>768</v>
      </c>
      <c r="BK44" s="10">
        <v>495.3</v>
      </c>
      <c r="BL44" s="11">
        <v>380400</v>
      </c>
      <c r="BM44" s="23">
        <f t="shared" si="218"/>
        <v>12.44509516837482</v>
      </c>
      <c r="BN44" s="23">
        <f>BK44*100/BD44-100</f>
        <v>-8.548744460856724</v>
      </c>
      <c r="BO44" s="23">
        <f t="shared" si="173"/>
        <v>17.543816280621954</v>
      </c>
      <c r="BP44" s="8"/>
      <c r="BQ44" s="20">
        <v>520</v>
      </c>
      <c r="BR44" s="10">
        <v>492.4</v>
      </c>
      <c r="BS44" s="11">
        <v>256040</v>
      </c>
      <c r="BT44" s="23">
        <f t="shared" si="219"/>
        <v>-32.29166666666667</v>
      </c>
      <c r="BU44" s="23">
        <f>BR44*100/BK44-100</f>
        <v>-0.5855037351100378</v>
      </c>
      <c r="BV44" s="23">
        <f t="shared" si="174"/>
        <v>-32.6919032597266</v>
      </c>
      <c r="BW44" s="8"/>
      <c r="BX44" s="20">
        <v>396</v>
      </c>
      <c r="BY44" s="10">
        <v>506.9</v>
      </c>
      <c r="BZ44" s="11">
        <v>200745</v>
      </c>
      <c r="CA44" s="23">
        <f t="shared" si="175"/>
        <v>-23.84615384615384</v>
      </c>
      <c r="CB44" s="23">
        <f>BY44*100/BR44-100</f>
        <v>2.9447603574329833</v>
      </c>
      <c r="CC44" s="23">
        <f t="shared" si="176"/>
        <v>-21.59623496328699</v>
      </c>
      <c r="CD44" s="8"/>
      <c r="CE44" s="20">
        <v>602</v>
      </c>
      <c r="CF44" s="10">
        <v>591.8</v>
      </c>
      <c r="CG44" s="11">
        <v>331555</v>
      </c>
      <c r="CH44" s="23">
        <f t="shared" si="177"/>
        <v>52.02020202020202</v>
      </c>
      <c r="CI44" s="23">
        <f>CF44*100/BY44-100</f>
        <v>16.74886565397513</v>
      </c>
      <c r="CJ44" s="23">
        <f t="shared" si="178"/>
        <v>65.1622705422302</v>
      </c>
      <c r="CK44" s="8"/>
      <c r="CL44" s="20">
        <v>527</v>
      </c>
      <c r="CM44" s="10">
        <v>582.5</v>
      </c>
      <c r="CN44" s="11">
        <v>306980</v>
      </c>
      <c r="CO44" s="23">
        <f t="shared" si="179"/>
        <v>-12.458471760797337</v>
      </c>
      <c r="CP44" s="23">
        <f>CM44*100/CF44-100</f>
        <v>-1.5714768502872545</v>
      </c>
      <c r="CQ44" s="23">
        <f t="shared" si="180"/>
        <v>-7.4120432507427125</v>
      </c>
      <c r="CR44" s="8"/>
      <c r="CS44" s="20">
        <v>2012</v>
      </c>
      <c r="CT44" s="10">
        <v>498.8</v>
      </c>
      <c r="CU44" s="11">
        <v>1003600</v>
      </c>
      <c r="CV44" s="23">
        <f t="shared" si="181"/>
        <v>281.7836812144213</v>
      </c>
      <c r="CW44" s="23">
        <f>CT44*100/CM44-100</f>
        <v>-14.369098712446359</v>
      </c>
      <c r="CX44" s="23">
        <f t="shared" si="182"/>
        <v>226.92683562447064</v>
      </c>
      <c r="CY44" s="8"/>
      <c r="CZ44" s="20">
        <v>2797</v>
      </c>
      <c r="DA44" s="10">
        <v>529.2</v>
      </c>
      <c r="DB44" s="11">
        <v>1480110</v>
      </c>
      <c r="DC44" s="23">
        <f t="shared" si="183"/>
        <v>39.01590457256461</v>
      </c>
      <c r="DD44" s="23">
        <f>DA44*100/CT44-100</f>
        <v>6.09462710505214</v>
      </c>
      <c r="DE44" s="23">
        <f t="shared" si="184"/>
        <v>47.48007174172977</v>
      </c>
      <c r="DF44" s="8"/>
      <c r="DG44" s="20">
        <v>3011</v>
      </c>
      <c r="DH44" s="10">
        <v>549.09</v>
      </c>
      <c r="DI44" s="11">
        <v>1653000</v>
      </c>
      <c r="DJ44" s="23">
        <f t="shared" si="185"/>
        <v>7.651054701465853</v>
      </c>
      <c r="DK44" s="23">
        <f>DH44*100/DA44-100</f>
        <v>3.7585034013605423</v>
      </c>
      <c r="DL44" s="23">
        <f t="shared" si="186"/>
        <v>11.680888582605348</v>
      </c>
      <c r="DM44" s="8"/>
      <c r="DN44" s="20">
        <v>2812</v>
      </c>
      <c r="DO44" s="10">
        <v>499.1</v>
      </c>
      <c r="DP44" s="11">
        <v>1193480</v>
      </c>
      <c r="DQ44" s="23">
        <f t="shared" si="187"/>
        <v>-6.609099966788449</v>
      </c>
      <c r="DR44" s="23">
        <f>DO44*100/DH44-100</f>
        <v>-9.104154145950574</v>
      </c>
      <c r="DS44" s="23">
        <f t="shared" si="188"/>
        <v>-27.79915305505142</v>
      </c>
      <c r="DT44" s="8"/>
      <c r="DU44" s="20">
        <v>2034</v>
      </c>
      <c r="DV44" s="10">
        <v>449</v>
      </c>
      <c r="DW44" s="11">
        <v>913320</v>
      </c>
      <c r="DX44" s="23">
        <f t="shared" si="189"/>
        <v>-27.66714082503556</v>
      </c>
      <c r="DY44" s="23">
        <f>DV44*100/DO44-100</f>
        <v>-10.03806852334202</v>
      </c>
      <c r="DZ44" s="23">
        <f t="shared" si="190"/>
        <v>-23.474209873646814</v>
      </c>
      <c r="EA44" s="8"/>
      <c r="EB44" s="20">
        <v>2514</v>
      </c>
      <c r="EC44" s="10">
        <v>489</v>
      </c>
      <c r="ED44" s="11">
        <v>1229340</v>
      </c>
      <c r="EE44" s="23">
        <f t="shared" si="191"/>
        <v>23.59882005899705</v>
      </c>
      <c r="EF44" s="23">
        <f>EC44*100/DV44-100</f>
        <v>8.908685968819597</v>
      </c>
      <c r="EG44" s="23">
        <f t="shared" si="192"/>
        <v>34.60123505452634</v>
      </c>
      <c r="EH44" s="8"/>
      <c r="EI44" s="20">
        <v>2470</v>
      </c>
      <c r="EJ44" s="10">
        <v>498.9</v>
      </c>
      <c r="EK44" s="11">
        <v>1232400</v>
      </c>
      <c r="EL44" s="23">
        <f t="shared" si="193"/>
        <v>-1.7501988862370723</v>
      </c>
      <c r="EM44" s="23">
        <f>EJ44*100/EC44-100</f>
        <v>2.0245398773006116</v>
      </c>
      <c r="EN44" s="23">
        <f t="shared" si="194"/>
        <v>0.24891405144224166</v>
      </c>
      <c r="EO44" s="8"/>
      <c r="EP44" s="20">
        <v>2519</v>
      </c>
      <c r="EQ44" s="10">
        <v>578.4</v>
      </c>
      <c r="ER44" s="11">
        <v>1457100</v>
      </c>
      <c r="ES44" s="23">
        <f t="shared" si="195"/>
        <v>1.9838056680161884</v>
      </c>
      <c r="ET44" s="23">
        <f>EQ44*100/EJ44-100</f>
        <v>15.935057125676494</v>
      </c>
      <c r="EU44" s="23">
        <f t="shared" si="196"/>
        <v>18.232716650438164</v>
      </c>
      <c r="EV44" s="8"/>
      <c r="EW44" s="20">
        <v>2513</v>
      </c>
      <c r="EX44" s="10">
        <f>EY44/EW44</f>
        <v>548.7067250298448</v>
      </c>
      <c r="EY44" s="11">
        <v>1378900</v>
      </c>
      <c r="EZ44" s="11">
        <v>1378900</v>
      </c>
      <c r="FA44" s="23">
        <f t="shared" si="198"/>
        <v>-0.2381897578404164</v>
      </c>
      <c r="FB44" s="23">
        <f>EX44*100/EQ44-100</f>
        <v>-5.133692076444532</v>
      </c>
      <c r="FC44" s="23">
        <f t="shared" si="199"/>
        <v>-5.366824514446506</v>
      </c>
      <c r="FD44" s="8"/>
      <c r="FE44" s="20">
        <v>2473</v>
      </c>
      <c r="FF44" s="10">
        <f>FG44/FE44</f>
        <v>513.8172260412455</v>
      </c>
      <c r="FG44" s="11">
        <v>1270670</v>
      </c>
      <c r="FH44" s="11">
        <v>1270670</v>
      </c>
      <c r="FI44" s="23">
        <f>FE44*100/EW44-100</f>
        <v>-1.5917230401910132</v>
      </c>
      <c r="FJ44" s="23">
        <f t="shared" si="204"/>
        <v>-6.35849669724783</v>
      </c>
      <c r="FK44" s="23">
        <f t="shared" si="204"/>
        <v>-7.849010080498942</v>
      </c>
      <c r="FL44" s="23">
        <f>FH44*100/EZ44-100</f>
        <v>-7.849010080498942</v>
      </c>
      <c r="FM44" s="23"/>
      <c r="FN44" s="20">
        <v>2516</v>
      </c>
      <c r="FO44" s="10">
        <f t="shared" si="220"/>
        <v>504.0600158982512</v>
      </c>
      <c r="FP44" s="11">
        <v>1268215</v>
      </c>
      <c r="FQ44" s="11">
        <v>1268215</v>
      </c>
      <c r="FR44" s="23">
        <f t="shared" si="221"/>
        <v>1.738778811160529</v>
      </c>
      <c r="FS44" s="23">
        <f t="shared" si="221"/>
        <v>-1.898965166693543</v>
      </c>
      <c r="FT44" s="23">
        <f t="shared" si="53"/>
        <v>-0.19320515948278683</v>
      </c>
      <c r="FU44" s="23">
        <f t="shared" si="53"/>
        <v>-0.19320515948278683</v>
      </c>
      <c r="FV44" s="23"/>
      <c r="FW44" s="20">
        <v>2321</v>
      </c>
      <c r="FX44" s="10">
        <f>FY44/FW44</f>
        <v>532.6281775096941</v>
      </c>
      <c r="FY44" s="20">
        <v>1236230</v>
      </c>
      <c r="FZ44" s="20">
        <v>1236230</v>
      </c>
      <c r="GA44" s="23">
        <f t="shared" si="222"/>
        <v>-7.7503974562798135</v>
      </c>
      <c r="GB44" s="23">
        <f t="shared" si="222"/>
        <v>5.667611139624611</v>
      </c>
      <c r="GC44" s="23">
        <f t="shared" si="222"/>
        <v>-2.522048706252491</v>
      </c>
      <c r="GD44" s="23">
        <f t="shared" si="222"/>
        <v>-2.522048706252491</v>
      </c>
      <c r="GE44" s="23"/>
      <c r="GF44" s="20">
        <v>2120</v>
      </c>
      <c r="GG44" s="10">
        <f>GH44/GF44</f>
        <v>547.0849056603773</v>
      </c>
      <c r="GH44" s="20">
        <v>1159820</v>
      </c>
      <c r="GI44" s="20">
        <v>1159820</v>
      </c>
      <c r="GJ44" s="23">
        <f t="shared" si="208"/>
        <v>-8.660060318828087</v>
      </c>
      <c r="GK44" s="23">
        <f t="shared" si="208"/>
        <v>2.7142251876864236</v>
      </c>
      <c r="GL44" s="23">
        <f t="shared" si="57"/>
        <v>-6.180888669584135</v>
      </c>
      <c r="GM44" s="23">
        <f t="shared" si="57"/>
        <v>-6.180888669584135</v>
      </c>
      <c r="GN44" s="23"/>
      <c r="GO44" s="20">
        <v>1945</v>
      </c>
      <c r="GP44" s="10">
        <f>GQ44/GO44</f>
        <v>448.4730077120823</v>
      </c>
      <c r="GQ44" s="20">
        <v>872280</v>
      </c>
      <c r="GR44" s="20">
        <v>872280</v>
      </c>
      <c r="GS44" s="23">
        <f t="shared" si="209"/>
        <v>-8.254716981132077</v>
      </c>
      <c r="GT44" s="23">
        <f t="shared" si="209"/>
        <v>-18.024971430944944</v>
      </c>
      <c r="GU44" s="23">
        <f t="shared" si="59"/>
        <v>-24.791778034522594</v>
      </c>
      <c r="GV44" s="23">
        <f t="shared" si="60"/>
        <v>-24.791778034522594</v>
      </c>
      <c r="GW44" s="23"/>
      <c r="GX44" s="20">
        <v>1938</v>
      </c>
      <c r="GY44" s="10">
        <f>GZ44/GX44</f>
        <v>526.4705882352941</v>
      </c>
      <c r="GZ44" s="20">
        <v>1020300</v>
      </c>
      <c r="HA44" s="20">
        <v>1020300</v>
      </c>
      <c r="HB44" s="23">
        <f t="shared" si="210"/>
        <v>-0.35989717223650075</v>
      </c>
      <c r="HC44" s="23">
        <f>GY44*100/GP44-100</f>
        <v>17.391811587752443</v>
      </c>
      <c r="HD44" s="23">
        <f t="shared" si="62"/>
        <v>16.969321777410926</v>
      </c>
      <c r="HE44" s="23">
        <f t="shared" si="63"/>
        <v>16.969321777410926</v>
      </c>
      <c r="HF44" s="23"/>
      <c r="HG44" s="20">
        <v>2207</v>
      </c>
      <c r="HH44" s="10">
        <f>HI44/HG44</f>
        <v>594.2772995015858</v>
      </c>
      <c r="HI44" s="20">
        <v>1311570</v>
      </c>
      <c r="HJ44" s="20">
        <v>1311570</v>
      </c>
      <c r="HK44" s="23">
        <f t="shared" si="211"/>
        <v>13.880288957688336</v>
      </c>
      <c r="HL44" s="23">
        <f>HH44*100/GY44-100</f>
        <v>12.87948705616715</v>
      </c>
      <c r="HM44" s="23">
        <f t="shared" si="105"/>
        <v>28.54748603351956</v>
      </c>
      <c r="HN44" s="23">
        <f t="shared" si="106"/>
        <v>28.54748603351956</v>
      </c>
      <c r="HO44" s="23"/>
      <c r="HP44" s="20">
        <v>2178</v>
      </c>
      <c r="HQ44" s="10">
        <f>HR44/HP44</f>
        <v>399.55922865013775</v>
      </c>
      <c r="HR44" s="20">
        <v>870240</v>
      </c>
      <c r="HS44" s="20">
        <v>870240</v>
      </c>
      <c r="HT44" s="23">
        <f t="shared" si="212"/>
        <v>-1.314000906207525</v>
      </c>
      <c r="HU44" s="23">
        <f>HQ44*100/HH44-100</f>
        <v>-32.765523942233045</v>
      </c>
      <c r="HV44" s="23">
        <f t="shared" si="64"/>
        <v>-33.64898556691598</v>
      </c>
      <c r="HW44" s="23">
        <f t="shared" si="65"/>
        <v>-33.64898556691598</v>
      </c>
      <c r="HX44" s="23"/>
      <c r="HY44" s="20">
        <v>2264</v>
      </c>
      <c r="HZ44" s="10">
        <f>IA44/HY44</f>
        <v>448.12720848056534</v>
      </c>
      <c r="IA44" s="20">
        <v>1014560</v>
      </c>
      <c r="IB44" s="20">
        <v>1014560</v>
      </c>
      <c r="IC44" s="23">
        <f t="shared" si="213"/>
        <v>3.9485766758494094</v>
      </c>
      <c r="ID44" s="23">
        <f>HZ44*100/HQ44-100</f>
        <v>12.155389326010209</v>
      </c>
      <c r="IE44" s="23">
        <f t="shared" si="42"/>
        <v>16.583930869645158</v>
      </c>
      <c r="IF44" s="23">
        <f t="shared" si="43"/>
        <v>16.583930869645158</v>
      </c>
      <c r="IG44" s="23"/>
      <c r="IH44" s="1" t="s">
        <v>41</v>
      </c>
      <c r="II44" s="29">
        <f t="shared" si="44"/>
        <v>2302.2</v>
      </c>
      <c r="IJ44" s="30">
        <f t="shared" si="45"/>
        <v>529.2817945588374</v>
      </c>
      <c r="IK44" s="29">
        <f t="shared" si="46"/>
        <v>1220748.5</v>
      </c>
      <c r="IL44" s="25">
        <f t="shared" si="47"/>
        <v>-5.394839718530093</v>
      </c>
      <c r="IM44" s="25">
        <f t="shared" si="48"/>
        <v>-24.50916831870724</v>
      </c>
      <c r="IN44" s="25">
        <f t="shared" si="49"/>
        <v>-28.712589038610332</v>
      </c>
      <c r="IP44" s="30">
        <f>HP44*100/Italia!BR44</f>
        <v>18.99860432658758</v>
      </c>
      <c r="IQ44" s="30">
        <f>HR44*100/Italia!BT44</f>
        <v>16.852728217416924</v>
      </c>
      <c r="IR44" s="30">
        <f>HS44*100/Italia!BU44</f>
        <v>17.27617198907256</v>
      </c>
    </row>
    <row r="45" spans="1:252" ht="12">
      <c r="A45" s="1" t="s">
        <v>42</v>
      </c>
      <c r="B45" s="22">
        <v>8</v>
      </c>
      <c r="C45" s="10">
        <v>400</v>
      </c>
      <c r="D45" s="11">
        <v>2500</v>
      </c>
      <c r="E45" s="9"/>
      <c r="F45" s="22">
        <v>6.6</v>
      </c>
      <c r="G45" s="10">
        <v>372.7</v>
      </c>
      <c r="H45" s="11">
        <v>2320</v>
      </c>
      <c r="I45" s="23">
        <f t="shared" si="214"/>
        <v>-17.5</v>
      </c>
      <c r="J45" s="23">
        <f>G45*100/C45-100</f>
        <v>-6.825000000000003</v>
      </c>
      <c r="K45" s="23">
        <f t="shared" si="215"/>
        <v>-7.200000000000003</v>
      </c>
      <c r="L45" s="8"/>
      <c r="M45" s="22">
        <v>6</v>
      </c>
      <c r="N45" s="10">
        <f>2550/M45</f>
        <v>425</v>
      </c>
      <c r="O45" s="11">
        <v>2450</v>
      </c>
      <c r="P45" s="23">
        <f t="shared" si="216"/>
        <v>-9.09090909090908</v>
      </c>
      <c r="Q45" s="23">
        <f>N45*100/G45-100</f>
        <v>14.032734102495311</v>
      </c>
      <c r="R45" s="23">
        <f t="shared" si="217"/>
        <v>5.603448275862064</v>
      </c>
      <c r="S45" s="8"/>
      <c r="T45" s="22">
        <v>5.2</v>
      </c>
      <c r="U45" s="10">
        <v>350</v>
      </c>
      <c r="V45" s="11">
        <v>1760</v>
      </c>
      <c r="W45" s="23">
        <f t="shared" si="161"/>
        <v>-13.333333333333329</v>
      </c>
      <c r="X45" s="23">
        <f>U45*100/N45-100</f>
        <v>-17.647058823529406</v>
      </c>
      <c r="Y45" s="23">
        <f t="shared" si="162"/>
        <v>-28.163265306122454</v>
      </c>
      <c r="Z45" s="8"/>
      <c r="AA45" s="22">
        <v>5</v>
      </c>
      <c r="AB45" s="10">
        <f>1750/AA45</f>
        <v>350</v>
      </c>
      <c r="AC45" s="11">
        <v>1700</v>
      </c>
      <c r="AD45" s="23">
        <f t="shared" si="163"/>
        <v>-3.846153846153854</v>
      </c>
      <c r="AE45" s="23">
        <f>AB45*100/U45-100</f>
        <v>0</v>
      </c>
      <c r="AF45" s="23">
        <f t="shared" si="164"/>
        <v>-3.4090909090909065</v>
      </c>
      <c r="AG45" s="8"/>
      <c r="AH45" s="22">
        <v>5</v>
      </c>
      <c r="AI45" s="10">
        <f>1850/AH45</f>
        <v>370</v>
      </c>
      <c r="AJ45" s="11">
        <v>1775</v>
      </c>
      <c r="AK45" s="23">
        <f t="shared" si="165"/>
        <v>0</v>
      </c>
      <c r="AL45" s="23">
        <f>AI45*100/AB45-100</f>
        <v>5.714285714285708</v>
      </c>
      <c r="AM45" s="23">
        <f t="shared" si="166"/>
        <v>4.411764705882348</v>
      </c>
      <c r="AN45" s="8"/>
      <c r="AO45" s="22">
        <v>5.05</v>
      </c>
      <c r="AP45" s="10">
        <f>1868/AO45</f>
        <v>369.9009900990099</v>
      </c>
      <c r="AQ45" s="11">
        <v>1795</v>
      </c>
      <c r="AR45" s="23">
        <f t="shared" si="167"/>
        <v>1</v>
      </c>
      <c r="AS45" s="23">
        <f>AP45*100/AI45-100</f>
        <v>-0.02675943270003245</v>
      </c>
      <c r="AT45" s="23">
        <f t="shared" si="168"/>
        <v>1.1267605633802873</v>
      </c>
      <c r="AU45" s="8"/>
      <c r="AV45" s="22">
        <v>5.1</v>
      </c>
      <c r="AW45" s="10">
        <f>2040/AV45</f>
        <v>400</v>
      </c>
      <c r="AX45" s="11">
        <v>2030</v>
      </c>
      <c r="AY45" s="23">
        <f t="shared" si="169"/>
        <v>0.9900990099009874</v>
      </c>
      <c r="AZ45" s="23">
        <f>AW45*100/AP45-100</f>
        <v>8.137044967880087</v>
      </c>
      <c r="BA45" s="23">
        <f t="shared" si="170"/>
        <v>13.091922005571035</v>
      </c>
      <c r="BB45" s="8"/>
      <c r="BC45" s="22">
        <v>5</v>
      </c>
      <c r="BD45" s="10">
        <f>BE45/BC45</f>
        <v>400</v>
      </c>
      <c r="BE45" s="11">
        <v>2000</v>
      </c>
      <c r="BF45" s="23">
        <f t="shared" si="171"/>
        <v>-1.9607843137254832</v>
      </c>
      <c r="BG45" s="23">
        <f>BD45*100/AW45-100</f>
        <v>0</v>
      </c>
      <c r="BH45" s="23">
        <f t="shared" si="172"/>
        <v>-1.477832512315274</v>
      </c>
      <c r="BI45" s="8"/>
      <c r="BJ45" s="22">
        <v>4.85</v>
      </c>
      <c r="BK45" s="10">
        <f>BL45/BJ45</f>
        <v>400.00000000000006</v>
      </c>
      <c r="BL45" s="11">
        <v>1940</v>
      </c>
      <c r="BM45" s="23">
        <f t="shared" si="218"/>
        <v>-3.000000000000014</v>
      </c>
      <c r="BN45" s="23">
        <f>BK45*100/BD45-100</f>
        <v>0</v>
      </c>
      <c r="BO45" s="23">
        <f t="shared" si="173"/>
        <v>-3</v>
      </c>
      <c r="BP45" s="8"/>
      <c r="BQ45" s="22">
        <v>4.8</v>
      </c>
      <c r="BR45" s="10">
        <f>BS45/BQ45</f>
        <v>400</v>
      </c>
      <c r="BS45" s="11">
        <v>1920</v>
      </c>
      <c r="BT45" s="23">
        <f t="shared" si="219"/>
        <v>-1.0309278350515427</v>
      </c>
      <c r="BU45" s="23">
        <f>BR45*100/BK45-100</f>
        <v>0</v>
      </c>
      <c r="BV45" s="23">
        <f t="shared" si="174"/>
        <v>-1.0309278350515427</v>
      </c>
      <c r="BW45" s="8"/>
      <c r="BX45" s="22">
        <v>4.2</v>
      </c>
      <c r="BY45" s="10">
        <f>BZ45/BX45</f>
        <v>380.95238095238096</v>
      </c>
      <c r="BZ45" s="11">
        <v>1600</v>
      </c>
      <c r="CA45" s="23">
        <f t="shared" si="175"/>
        <v>-12.5</v>
      </c>
      <c r="CB45" s="23">
        <f>BY45*100/BR45-100</f>
        <v>-4.761904761904759</v>
      </c>
      <c r="CC45" s="23">
        <f t="shared" si="176"/>
        <v>-16.66666666666667</v>
      </c>
      <c r="CD45" s="8"/>
      <c r="CE45" s="22">
        <v>4.3</v>
      </c>
      <c r="CF45" s="10">
        <f>CG45/CE45</f>
        <v>390.4651162790698</v>
      </c>
      <c r="CG45" s="11">
        <v>1679</v>
      </c>
      <c r="CH45" s="23">
        <f t="shared" si="177"/>
        <v>2.3809523809523796</v>
      </c>
      <c r="CI45" s="23">
        <f>CF45*100/BY45-100</f>
        <v>2.4970930232558146</v>
      </c>
      <c r="CJ45" s="23">
        <f t="shared" si="178"/>
        <v>4.9375</v>
      </c>
      <c r="CK45" s="8"/>
      <c r="CL45" s="22">
        <v>3.9</v>
      </c>
      <c r="CM45" s="10">
        <f>CN45/CL45</f>
        <v>381.02564102564105</v>
      </c>
      <c r="CN45" s="11">
        <v>1486</v>
      </c>
      <c r="CO45" s="23">
        <f t="shared" si="179"/>
        <v>-9.302325581395351</v>
      </c>
      <c r="CP45" s="23">
        <f>CM45*100/CF45-100</f>
        <v>-2.417495151265257</v>
      </c>
      <c r="CQ45" s="23">
        <f t="shared" si="180"/>
        <v>-11.494937462775468</v>
      </c>
      <c r="CR45" s="8"/>
      <c r="CS45" s="22">
        <v>4.6</v>
      </c>
      <c r="CT45" s="10">
        <f>1840/CS45</f>
        <v>400.00000000000006</v>
      </c>
      <c r="CU45" s="11">
        <v>1840</v>
      </c>
      <c r="CV45" s="23">
        <f t="shared" si="181"/>
        <v>17.948717948717942</v>
      </c>
      <c r="CW45" s="23">
        <f>CT45*100/CM45-100</f>
        <v>4.97981157469718</v>
      </c>
      <c r="CX45" s="23">
        <f t="shared" si="182"/>
        <v>23.822341857335132</v>
      </c>
      <c r="CY45" s="8"/>
      <c r="CZ45" s="22">
        <v>0</v>
      </c>
      <c r="DA45" s="10">
        <v>0</v>
      </c>
      <c r="DB45" s="11">
        <v>0</v>
      </c>
      <c r="DC45" s="23">
        <f t="shared" si="183"/>
        <v>-100</v>
      </c>
      <c r="DD45" s="23">
        <f>DA45*100/CT45-100</f>
        <v>-100</v>
      </c>
      <c r="DE45" s="23">
        <f t="shared" si="184"/>
        <v>-100</v>
      </c>
      <c r="DF45" s="8"/>
      <c r="DG45" s="22">
        <v>0</v>
      </c>
      <c r="DH45" s="10">
        <v>0</v>
      </c>
      <c r="DI45" s="11">
        <v>0</v>
      </c>
      <c r="DJ45" s="23" t="e">
        <f t="shared" si="185"/>
        <v>#DIV/0!</v>
      </c>
      <c r="DK45" s="23" t="e">
        <f>DH45*100/DA45-100</f>
        <v>#DIV/0!</v>
      </c>
      <c r="DL45" s="23" t="e">
        <f t="shared" si="186"/>
        <v>#DIV/0!</v>
      </c>
      <c r="DM45" s="8"/>
      <c r="DN45" s="22"/>
      <c r="DO45" s="10"/>
      <c r="DP45" s="11"/>
      <c r="DQ45" s="23" t="e">
        <f t="shared" si="187"/>
        <v>#DIV/0!</v>
      </c>
      <c r="DR45" s="23" t="e">
        <f>DO45*100/DH45-100</f>
        <v>#DIV/0!</v>
      </c>
      <c r="DS45" s="23" t="e">
        <f t="shared" si="188"/>
        <v>#DIV/0!</v>
      </c>
      <c r="DT45" s="8"/>
      <c r="DU45" s="22"/>
      <c r="DV45" s="10"/>
      <c r="DW45" s="11"/>
      <c r="DX45" s="23" t="e">
        <f t="shared" si="189"/>
        <v>#DIV/0!</v>
      </c>
      <c r="DY45" s="23" t="e">
        <f>DV45*100/DO45-100</f>
        <v>#DIV/0!</v>
      </c>
      <c r="DZ45" s="23" t="e">
        <f t="shared" si="190"/>
        <v>#DIV/0!</v>
      </c>
      <c r="EA45" s="8"/>
      <c r="EB45" s="22"/>
      <c r="EC45" s="10"/>
      <c r="ED45" s="11"/>
      <c r="EE45" s="23" t="e">
        <f t="shared" si="191"/>
        <v>#DIV/0!</v>
      </c>
      <c r="EF45" s="23" t="e">
        <f>EC45*100/DV45-100</f>
        <v>#DIV/0!</v>
      </c>
      <c r="EG45" s="23" t="e">
        <f t="shared" si="192"/>
        <v>#DIV/0!</v>
      </c>
      <c r="EH45" s="8"/>
      <c r="EI45" s="22"/>
      <c r="EJ45" s="10"/>
      <c r="EK45" s="11"/>
      <c r="EL45" s="23" t="e">
        <f t="shared" si="193"/>
        <v>#DIV/0!</v>
      </c>
      <c r="EM45" s="23" t="e">
        <f>EJ45*100/EC45-100</f>
        <v>#DIV/0!</v>
      </c>
      <c r="EN45" s="23" t="e">
        <f t="shared" si="194"/>
        <v>#DIV/0!</v>
      </c>
      <c r="EO45" s="8"/>
      <c r="EP45" s="22"/>
      <c r="EQ45" s="10" t="e">
        <f>ER45/EP45</f>
        <v>#DIV/0!</v>
      </c>
      <c r="ER45" s="11"/>
      <c r="ES45" s="23" t="e">
        <f t="shared" si="195"/>
        <v>#DIV/0!</v>
      </c>
      <c r="ET45" s="23" t="e">
        <f>EQ45*100/EJ45-100</f>
        <v>#DIV/0!</v>
      </c>
      <c r="EU45" s="23" t="e">
        <f t="shared" si="196"/>
        <v>#DIV/0!</v>
      </c>
      <c r="EV45" s="8"/>
      <c r="EW45" s="20" t="s">
        <v>1</v>
      </c>
      <c r="EX45" s="10" t="s">
        <v>1</v>
      </c>
      <c r="EY45" s="10" t="s">
        <v>1</v>
      </c>
      <c r="EZ45" s="11" t="s">
        <v>1</v>
      </c>
      <c r="FA45" s="11" t="s">
        <v>1</v>
      </c>
      <c r="FB45" s="11" t="s">
        <v>1</v>
      </c>
      <c r="FC45" s="11" t="s">
        <v>1</v>
      </c>
      <c r="FD45" s="8"/>
      <c r="FE45" s="33" t="s">
        <v>1</v>
      </c>
      <c r="FF45" s="33" t="s">
        <v>1</v>
      </c>
      <c r="FG45" s="33" t="s">
        <v>1</v>
      </c>
      <c r="FH45" s="33" t="s">
        <v>1</v>
      </c>
      <c r="FI45" s="33" t="s">
        <v>1</v>
      </c>
      <c r="FJ45" s="33" t="s">
        <v>1</v>
      </c>
      <c r="FK45" s="33" t="s">
        <v>1</v>
      </c>
      <c r="FL45" s="33" t="s">
        <v>1</v>
      </c>
      <c r="FM45" s="33"/>
      <c r="FN45" s="22">
        <v>0</v>
      </c>
      <c r="FO45" s="10" t="e">
        <f t="shared" si="220"/>
        <v>#DIV/0!</v>
      </c>
      <c r="FP45" s="11">
        <v>0</v>
      </c>
      <c r="FQ45" s="11">
        <v>0</v>
      </c>
      <c r="FR45" s="23" t="e">
        <f t="shared" si="221"/>
        <v>#DIV/0!</v>
      </c>
      <c r="FS45" s="23" t="e">
        <f t="shared" si="221"/>
        <v>#DIV/0!</v>
      </c>
      <c r="FT45" s="23" t="e">
        <f t="shared" si="53"/>
        <v>#DIV/0!</v>
      </c>
      <c r="FU45" s="23" t="e">
        <f t="shared" si="53"/>
        <v>#DIV/0!</v>
      </c>
      <c r="FV45" s="23"/>
      <c r="FW45" s="22"/>
      <c r="FX45" s="10" t="e">
        <f>FY45/FW45</f>
        <v>#DIV/0!</v>
      </c>
      <c r="FY45" s="22"/>
      <c r="FZ45" s="22"/>
      <c r="GA45" s="23" t="e">
        <f t="shared" si="222"/>
        <v>#DIV/0!</v>
      </c>
      <c r="GB45" s="23" t="e">
        <f t="shared" si="222"/>
        <v>#DIV/0!</v>
      </c>
      <c r="GC45" s="23" t="e">
        <f t="shared" si="222"/>
        <v>#DIV/0!</v>
      </c>
      <c r="GD45" s="23" t="e">
        <f t="shared" si="222"/>
        <v>#DIV/0!</v>
      </c>
      <c r="GE45" s="23"/>
      <c r="GF45" s="22">
        <v>0</v>
      </c>
      <c r="GG45" s="10" t="e">
        <f>GH45/GF45</f>
        <v>#DIV/0!</v>
      </c>
      <c r="GH45" s="22">
        <v>0</v>
      </c>
      <c r="GI45" s="22">
        <v>0</v>
      </c>
      <c r="GJ45" s="23" t="e">
        <f t="shared" si="208"/>
        <v>#DIV/0!</v>
      </c>
      <c r="GK45" s="23" t="e">
        <f t="shared" si="208"/>
        <v>#DIV/0!</v>
      </c>
      <c r="GL45" s="23" t="e">
        <f t="shared" si="57"/>
        <v>#DIV/0!</v>
      </c>
      <c r="GM45" s="23" t="e">
        <f t="shared" si="57"/>
        <v>#DIV/0!</v>
      </c>
      <c r="GN45" s="23"/>
      <c r="GO45" s="22">
        <v>0</v>
      </c>
      <c r="GP45" s="10" t="e">
        <f>GQ45/GO45</f>
        <v>#DIV/0!</v>
      </c>
      <c r="GQ45" s="20">
        <v>0</v>
      </c>
      <c r="GR45" s="20">
        <v>0</v>
      </c>
      <c r="GS45" s="23" t="e">
        <f t="shared" si="209"/>
        <v>#DIV/0!</v>
      </c>
      <c r="GT45" s="23" t="e">
        <f t="shared" si="209"/>
        <v>#DIV/0!</v>
      </c>
      <c r="GU45" s="23" t="e">
        <f t="shared" si="59"/>
        <v>#DIV/0!</v>
      </c>
      <c r="GV45" s="23" t="e">
        <f t="shared" si="60"/>
        <v>#DIV/0!</v>
      </c>
      <c r="GW45" s="23"/>
      <c r="GX45" s="22">
        <v>0</v>
      </c>
      <c r="GY45" s="10" t="e">
        <f>GZ45/GX45</f>
        <v>#DIV/0!</v>
      </c>
      <c r="GZ45" s="22">
        <v>0</v>
      </c>
      <c r="HA45" s="22">
        <v>0</v>
      </c>
      <c r="HB45" s="23" t="e">
        <f t="shared" si="210"/>
        <v>#DIV/0!</v>
      </c>
      <c r="HC45" s="23" t="e">
        <f>GY45*100/GP45-100</f>
        <v>#DIV/0!</v>
      </c>
      <c r="HD45" s="23" t="e">
        <f t="shared" si="62"/>
        <v>#DIV/0!</v>
      </c>
      <c r="HE45" s="23" t="e">
        <f t="shared" si="63"/>
        <v>#DIV/0!</v>
      </c>
      <c r="HF45" s="23"/>
      <c r="HG45" s="22"/>
      <c r="HH45" s="10" t="e">
        <f>HI45/HG45</f>
        <v>#DIV/0!</v>
      </c>
      <c r="HI45" s="22"/>
      <c r="HJ45" s="22"/>
      <c r="HK45" s="23" t="e">
        <f t="shared" si="211"/>
        <v>#DIV/0!</v>
      </c>
      <c r="HL45" s="23" t="e">
        <f>HH45*100/GY45-100</f>
        <v>#DIV/0!</v>
      </c>
      <c r="HM45" s="23" t="e">
        <f t="shared" si="105"/>
        <v>#DIV/0!</v>
      </c>
      <c r="HN45" s="23" t="e">
        <f t="shared" si="106"/>
        <v>#DIV/0!</v>
      </c>
      <c r="HO45" s="23"/>
      <c r="HP45" s="22"/>
      <c r="HQ45" s="10" t="e">
        <f>HR45/HP45</f>
        <v>#DIV/0!</v>
      </c>
      <c r="HR45" s="22"/>
      <c r="HS45" s="22"/>
      <c r="HT45" s="23" t="e">
        <f t="shared" si="212"/>
        <v>#DIV/0!</v>
      </c>
      <c r="HU45" s="23" t="e">
        <f>HQ45*100/HH45-100</f>
        <v>#DIV/0!</v>
      </c>
      <c r="HV45" s="23" t="e">
        <f t="shared" si="64"/>
        <v>#DIV/0!</v>
      </c>
      <c r="HW45" s="23" t="e">
        <f t="shared" si="65"/>
        <v>#DIV/0!</v>
      </c>
      <c r="HX45" s="23"/>
      <c r="HY45" s="22"/>
      <c r="HZ45" s="10" t="e">
        <f>IA45/HY45</f>
        <v>#DIV/0!</v>
      </c>
      <c r="IA45" s="22"/>
      <c r="IB45" s="22"/>
      <c r="IC45" s="23" t="e">
        <f t="shared" si="213"/>
        <v>#DIV/0!</v>
      </c>
      <c r="ID45" s="23" t="e">
        <f>HZ45*100/HQ45-100</f>
        <v>#DIV/0!</v>
      </c>
      <c r="IE45" s="23" t="e">
        <f t="shared" si="42"/>
        <v>#DIV/0!</v>
      </c>
      <c r="IF45" s="23" t="e">
        <f t="shared" si="43"/>
        <v>#DIV/0!</v>
      </c>
      <c r="IG45" s="23"/>
      <c r="IH45" s="1" t="s">
        <v>42</v>
      </c>
      <c r="II45" s="29">
        <f aca="true" t="shared" si="223" ref="II45:II76">AVERAGE(EI45,EP45,EW45,FE45,FN45,FW45,GF45,GO45,GX45,HG45)</f>
        <v>0</v>
      </c>
      <c r="IJ45" s="30" t="e">
        <f aca="true" t="shared" si="224" ref="IJ45:IJ76">AVERAGE(EJ45,EQ45,EX45,FF45,FO45,FX45,GG45,GP45,GY45,HH45)</f>
        <v>#DIV/0!</v>
      </c>
      <c r="IK45" s="29">
        <f aca="true" t="shared" si="225" ref="IK45:IK76">AVERAGE(EK45,ER45,EZ45,FH45,FQ45,FZ45,GI45,GR45,HA45,HJ45)</f>
        <v>0</v>
      </c>
      <c r="IL45" s="25" t="e">
        <f aca="true" t="shared" si="226" ref="IL45:IL76">HP45*100/II45-100</f>
        <v>#DIV/0!</v>
      </c>
      <c r="IM45" s="25" t="e">
        <f aca="true" t="shared" si="227" ref="IM45:IM76">HQ45*100/IJ45-100</f>
        <v>#DIV/0!</v>
      </c>
      <c r="IN45" s="25" t="e">
        <f aca="true" t="shared" si="228" ref="IN45:IN76">HS45*100/IK45-100</f>
        <v>#DIV/0!</v>
      </c>
      <c r="IP45" s="30">
        <f>HP45*100/Italia!BR45</f>
        <v>0</v>
      </c>
      <c r="IQ45" s="30">
        <f>HR45*100/Italia!BT45</f>
        <v>0</v>
      </c>
      <c r="IR45" s="30">
        <f>HS45*100/Italia!BU45</f>
        <v>0</v>
      </c>
    </row>
    <row r="46" spans="1:252" ht="12">
      <c r="A46" s="1" t="s">
        <v>43</v>
      </c>
      <c r="B46" s="19">
        <f>B45+B44</f>
        <v>140</v>
      </c>
      <c r="C46" s="6" t="s">
        <v>1</v>
      </c>
      <c r="D46" s="9">
        <f>D45+D44</f>
        <v>50300</v>
      </c>
      <c r="E46" s="9"/>
      <c r="F46" s="19">
        <f>F44+F45</f>
        <v>214.6</v>
      </c>
      <c r="G46" s="6" t="s">
        <v>1</v>
      </c>
      <c r="H46" s="9">
        <f>H45+H44</f>
        <v>105820</v>
      </c>
      <c r="I46" s="23">
        <f t="shared" si="214"/>
        <v>53.28571428571428</v>
      </c>
      <c r="J46" s="24" t="s">
        <v>1</v>
      </c>
      <c r="K46" s="23">
        <f t="shared" si="215"/>
        <v>110.37773359840955</v>
      </c>
      <c r="L46" s="8"/>
      <c r="M46" s="19">
        <f>M44+M45</f>
        <v>323</v>
      </c>
      <c r="N46" s="6" t="s">
        <v>1</v>
      </c>
      <c r="O46" s="9">
        <f>O45+O44</f>
        <v>156950</v>
      </c>
      <c r="P46" s="23">
        <f t="shared" si="216"/>
        <v>50.512581547064315</v>
      </c>
      <c r="Q46" s="24" t="s">
        <v>1</v>
      </c>
      <c r="R46" s="23">
        <f t="shared" si="217"/>
        <v>48.31789831789831</v>
      </c>
      <c r="S46" s="8"/>
      <c r="T46" s="19">
        <f>T44+T45</f>
        <v>325.2</v>
      </c>
      <c r="U46" s="6" t="s">
        <v>1</v>
      </c>
      <c r="V46" s="9">
        <f>V45+V44</f>
        <v>161760</v>
      </c>
      <c r="W46" s="23">
        <f t="shared" si="161"/>
        <v>0.6811145510835956</v>
      </c>
      <c r="X46" s="24" t="s">
        <v>1</v>
      </c>
      <c r="Y46" s="23">
        <f t="shared" si="162"/>
        <v>3.064670277158328</v>
      </c>
      <c r="Z46" s="8"/>
      <c r="AA46" s="19">
        <f>AA44+AA45</f>
        <v>1037</v>
      </c>
      <c r="AB46" s="6" t="s">
        <v>1</v>
      </c>
      <c r="AC46" s="9">
        <f>AC45+AC44</f>
        <v>560700</v>
      </c>
      <c r="AD46" s="23">
        <f t="shared" si="163"/>
        <v>218.8806888068881</v>
      </c>
      <c r="AE46" s="24" t="s">
        <v>1</v>
      </c>
      <c r="AF46" s="23">
        <f t="shared" si="164"/>
        <v>246.62462908011867</v>
      </c>
      <c r="AG46" s="8"/>
      <c r="AH46" s="19">
        <f>AH44+AH45</f>
        <v>640</v>
      </c>
      <c r="AI46" s="6" t="s">
        <v>1</v>
      </c>
      <c r="AJ46" s="9">
        <f>AJ45+AJ44</f>
        <v>371775</v>
      </c>
      <c r="AK46" s="23">
        <f t="shared" si="165"/>
        <v>-38.28351012536162</v>
      </c>
      <c r="AL46" s="24" t="s">
        <v>1</v>
      </c>
      <c r="AM46" s="23">
        <f t="shared" si="166"/>
        <v>-33.694489031567684</v>
      </c>
      <c r="AN46" s="8"/>
      <c r="AO46" s="19">
        <f>AO44+AO45</f>
        <v>886.05</v>
      </c>
      <c r="AP46" s="6" t="s">
        <v>1</v>
      </c>
      <c r="AQ46" s="9">
        <f>AQ45+AQ44</f>
        <v>432295</v>
      </c>
      <c r="AR46" s="23">
        <f t="shared" si="167"/>
        <v>38.4453125</v>
      </c>
      <c r="AS46" s="24" t="s">
        <v>1</v>
      </c>
      <c r="AT46" s="23">
        <f t="shared" si="168"/>
        <v>16.278663169928052</v>
      </c>
      <c r="AU46" s="8"/>
      <c r="AV46" s="19">
        <f>AV44+AV45</f>
        <v>932.1</v>
      </c>
      <c r="AW46" s="6" t="s">
        <v>1</v>
      </c>
      <c r="AX46" s="9">
        <f>AX45+AX44</f>
        <v>383898</v>
      </c>
      <c r="AY46" s="23">
        <f t="shared" si="169"/>
        <v>5.197223632977824</v>
      </c>
      <c r="AZ46" s="24" t="s">
        <v>1</v>
      </c>
      <c r="BA46" s="23">
        <f t="shared" si="170"/>
        <v>-11.195364276709185</v>
      </c>
      <c r="BB46" s="8"/>
      <c r="BC46" s="19">
        <f>BC44+BC45</f>
        <v>688</v>
      </c>
      <c r="BD46" s="6" t="s">
        <v>1</v>
      </c>
      <c r="BE46" s="9">
        <f>BE45+BE44</f>
        <v>325624</v>
      </c>
      <c r="BF46" s="23">
        <f t="shared" si="171"/>
        <v>-26.188177234202342</v>
      </c>
      <c r="BG46" s="24" t="s">
        <v>1</v>
      </c>
      <c r="BH46" s="23">
        <f t="shared" si="172"/>
        <v>-15.179552902072942</v>
      </c>
      <c r="BI46" s="8"/>
      <c r="BJ46" s="19">
        <f>BJ44+BJ45</f>
        <v>772.85</v>
      </c>
      <c r="BK46" s="6" t="s">
        <v>1</v>
      </c>
      <c r="BL46" s="9">
        <f>BL45+BL44</f>
        <v>382340</v>
      </c>
      <c r="BM46" s="23">
        <f t="shared" si="218"/>
        <v>12.332848837209298</v>
      </c>
      <c r="BN46" s="24" t="s">
        <v>1</v>
      </c>
      <c r="BO46" s="23">
        <f t="shared" si="173"/>
        <v>17.417635063754517</v>
      </c>
      <c r="BP46" s="8"/>
      <c r="BQ46" s="19">
        <f>BQ44+BQ45</f>
        <v>524.8</v>
      </c>
      <c r="BR46" s="6" t="s">
        <v>1</v>
      </c>
      <c r="BS46" s="9">
        <f>BS45+BS44</f>
        <v>257960</v>
      </c>
      <c r="BT46" s="23">
        <f t="shared" si="219"/>
        <v>-32.09549071618038</v>
      </c>
      <c r="BU46" s="24" t="s">
        <v>1</v>
      </c>
      <c r="BV46" s="23">
        <f t="shared" si="174"/>
        <v>-32.53125490401213</v>
      </c>
      <c r="BW46" s="8"/>
      <c r="BX46" s="19">
        <f>BX44+BX45</f>
        <v>400.2</v>
      </c>
      <c r="BY46" s="6" t="s">
        <v>1</v>
      </c>
      <c r="BZ46" s="9">
        <f>BZ45+BZ44</f>
        <v>202345</v>
      </c>
      <c r="CA46" s="23">
        <f t="shared" si="175"/>
        <v>-23.74237804878048</v>
      </c>
      <c r="CB46" s="24" t="s">
        <v>1</v>
      </c>
      <c r="CC46" s="23">
        <f t="shared" si="176"/>
        <v>-21.55954411536672</v>
      </c>
      <c r="CD46" s="8"/>
      <c r="CE46" s="19">
        <f>CE44+CE45</f>
        <v>606.3</v>
      </c>
      <c r="CF46" s="6" t="s">
        <v>1</v>
      </c>
      <c r="CG46" s="9">
        <f>CG45+CG44</f>
        <v>333234</v>
      </c>
      <c r="CH46" s="23">
        <f t="shared" si="177"/>
        <v>51.49925037481259</v>
      </c>
      <c r="CI46" s="24" t="s">
        <v>1</v>
      </c>
      <c r="CJ46" s="23">
        <f t="shared" si="178"/>
        <v>64.68605599347649</v>
      </c>
      <c r="CK46" s="8"/>
      <c r="CL46" s="19">
        <f>CL44+CL45</f>
        <v>530.9</v>
      </c>
      <c r="CM46" s="6" t="s">
        <v>1</v>
      </c>
      <c r="CN46" s="9">
        <f>CN45+CN44</f>
        <v>308466</v>
      </c>
      <c r="CO46" s="23">
        <f t="shared" si="179"/>
        <v>-12.436087745340586</v>
      </c>
      <c r="CP46" s="24" t="s">
        <v>1</v>
      </c>
      <c r="CQ46" s="23">
        <f t="shared" si="180"/>
        <v>-7.432614919245935</v>
      </c>
      <c r="CR46" s="8"/>
      <c r="CS46" s="19">
        <f>CS44+CS45</f>
        <v>2016.6</v>
      </c>
      <c r="CT46" s="6" t="s">
        <v>1</v>
      </c>
      <c r="CU46" s="9">
        <f>CU45+CU44</f>
        <v>1005440</v>
      </c>
      <c r="CV46" s="23">
        <f t="shared" si="181"/>
        <v>279.84554530043323</v>
      </c>
      <c r="CW46" s="24" t="s">
        <v>1</v>
      </c>
      <c r="CX46" s="23">
        <f t="shared" si="182"/>
        <v>225.948402741307</v>
      </c>
      <c r="CY46" s="8"/>
      <c r="CZ46" s="19">
        <f>CZ44+CZ45</f>
        <v>2797</v>
      </c>
      <c r="DA46" s="6" t="s">
        <v>1</v>
      </c>
      <c r="DB46" s="9">
        <f>DB45+DB44</f>
        <v>1480110</v>
      </c>
      <c r="DC46" s="23">
        <f t="shared" si="183"/>
        <v>38.69879996032927</v>
      </c>
      <c r="DD46" s="24" t="s">
        <v>1</v>
      </c>
      <c r="DE46" s="23">
        <f t="shared" si="184"/>
        <v>47.210176639083386</v>
      </c>
      <c r="DF46" s="8"/>
      <c r="DG46" s="19">
        <f>DG44+DG45</f>
        <v>3011</v>
      </c>
      <c r="DH46" s="6" t="s">
        <v>1</v>
      </c>
      <c r="DI46" s="9">
        <f>DI45+DI44</f>
        <v>1653000</v>
      </c>
      <c r="DJ46" s="23">
        <f t="shared" si="185"/>
        <v>7.651054701465853</v>
      </c>
      <c r="DK46" s="24" t="s">
        <v>1</v>
      </c>
      <c r="DL46" s="23">
        <f t="shared" si="186"/>
        <v>11.680888582605348</v>
      </c>
      <c r="DM46" s="8"/>
      <c r="DN46" s="19">
        <f>DN44+DN45</f>
        <v>2812</v>
      </c>
      <c r="DO46" s="6" t="s">
        <v>1</v>
      </c>
      <c r="DP46" s="9">
        <f>DP45+DP44</f>
        <v>1193480</v>
      </c>
      <c r="DQ46" s="23">
        <f t="shared" si="187"/>
        <v>-6.609099966788449</v>
      </c>
      <c r="DR46" s="24" t="s">
        <v>1</v>
      </c>
      <c r="DS46" s="23">
        <f t="shared" si="188"/>
        <v>-27.79915305505142</v>
      </c>
      <c r="DT46" s="8"/>
      <c r="DU46" s="19">
        <f>DU44+DU45</f>
        <v>2034</v>
      </c>
      <c r="DV46" s="6" t="s">
        <v>1</v>
      </c>
      <c r="DW46" s="9">
        <f>DW45+DW44</f>
        <v>913320</v>
      </c>
      <c r="DX46" s="23">
        <f t="shared" si="189"/>
        <v>-27.66714082503556</v>
      </c>
      <c r="DY46" s="24" t="s">
        <v>1</v>
      </c>
      <c r="DZ46" s="23">
        <f t="shared" si="190"/>
        <v>-23.474209873646814</v>
      </c>
      <c r="EA46" s="8"/>
      <c r="EB46" s="19">
        <f>EB44+EB45</f>
        <v>2514</v>
      </c>
      <c r="EC46" s="6" t="s">
        <v>1</v>
      </c>
      <c r="ED46" s="9">
        <f>ED45+ED44</f>
        <v>1229340</v>
      </c>
      <c r="EE46" s="23">
        <f t="shared" si="191"/>
        <v>23.59882005899705</v>
      </c>
      <c r="EF46" s="24" t="s">
        <v>1</v>
      </c>
      <c r="EG46" s="23">
        <f t="shared" si="192"/>
        <v>34.60123505452634</v>
      </c>
      <c r="EH46" s="8"/>
      <c r="EI46" s="19">
        <f>EI44+EI45</f>
        <v>2470</v>
      </c>
      <c r="EJ46" s="6" t="s">
        <v>1</v>
      </c>
      <c r="EK46" s="9">
        <f>EK45+EK44</f>
        <v>1232400</v>
      </c>
      <c r="EL46" s="23">
        <f t="shared" si="193"/>
        <v>-1.7501988862370723</v>
      </c>
      <c r="EM46" s="24" t="s">
        <v>1</v>
      </c>
      <c r="EN46" s="23">
        <f t="shared" si="194"/>
        <v>0.24891405144224166</v>
      </c>
      <c r="EO46" s="8"/>
      <c r="EP46" s="19">
        <f>EP44+EP45</f>
        <v>2519</v>
      </c>
      <c r="EQ46" s="6" t="s">
        <v>1</v>
      </c>
      <c r="ER46" s="9">
        <f>ER45+ER44</f>
        <v>1457100</v>
      </c>
      <c r="ES46" s="23">
        <f t="shared" si="195"/>
        <v>1.9838056680161884</v>
      </c>
      <c r="ET46" s="24" t="s">
        <v>1</v>
      </c>
      <c r="EU46" s="23">
        <f t="shared" si="196"/>
        <v>18.232716650438164</v>
      </c>
      <c r="EV46" s="8"/>
      <c r="EW46" s="19">
        <f>EW44+EW45</f>
        <v>2513</v>
      </c>
      <c r="EX46" s="10">
        <f>EY46/EW46</f>
        <v>548.7067250298448</v>
      </c>
      <c r="EY46" s="9">
        <f>EY45+EY44</f>
        <v>1378900</v>
      </c>
      <c r="EZ46" s="9">
        <f>EZ45+EZ44</f>
        <v>1378900</v>
      </c>
      <c r="FA46" s="23">
        <f t="shared" si="198"/>
        <v>-0.2381897578404164</v>
      </c>
      <c r="FB46" s="24" t="s">
        <v>1</v>
      </c>
      <c r="FC46" s="23">
        <f t="shared" si="199"/>
        <v>-5.366824514446506</v>
      </c>
      <c r="FD46" s="8"/>
      <c r="FE46" s="19">
        <f>FE44+FE45</f>
        <v>2473</v>
      </c>
      <c r="FF46" s="10">
        <f aca="true" t="shared" si="229" ref="FF46:FF83">FG46/FE46</f>
        <v>513.8172260412455</v>
      </c>
      <c r="FG46" s="9">
        <f>FG45+FG44</f>
        <v>1270670</v>
      </c>
      <c r="FH46" s="9">
        <f>FH45+FH44</f>
        <v>1270670</v>
      </c>
      <c r="FI46" s="23">
        <f>FE46*100/EW46-100</f>
        <v>-1.5917230401910132</v>
      </c>
      <c r="FJ46" s="23">
        <f t="shared" si="204"/>
        <v>-6.35849669724783</v>
      </c>
      <c r="FK46" s="23">
        <f t="shared" si="204"/>
        <v>-7.849010080498942</v>
      </c>
      <c r="FL46" s="23">
        <f>FH46*100/EZ46-100</f>
        <v>-7.849010080498942</v>
      </c>
      <c r="FM46" s="23"/>
      <c r="FN46" s="19">
        <f>FN44+FN45</f>
        <v>2516</v>
      </c>
      <c r="FO46" s="6" t="s">
        <v>1</v>
      </c>
      <c r="FP46" s="19">
        <f>FP44+FP45</f>
        <v>1268215</v>
      </c>
      <c r="FQ46" s="9">
        <f>FQ45+FQ44</f>
        <v>1268215</v>
      </c>
      <c r="FR46" s="24" t="s">
        <v>1</v>
      </c>
      <c r="FS46" s="24" t="s">
        <v>1</v>
      </c>
      <c r="FT46" s="23">
        <f t="shared" si="53"/>
        <v>-0.19320515948278683</v>
      </c>
      <c r="FU46" s="23">
        <f t="shared" si="53"/>
        <v>-0.19320515948278683</v>
      </c>
      <c r="FV46" s="23"/>
      <c r="FW46" s="19">
        <f>FW44+FW45</f>
        <v>2321</v>
      </c>
      <c r="FX46" s="6" t="s">
        <v>1</v>
      </c>
      <c r="FY46" s="19">
        <f>FY44+FY45</f>
        <v>1236230</v>
      </c>
      <c r="FZ46" s="19">
        <f>FZ44+FZ45</f>
        <v>1236230</v>
      </c>
      <c r="GA46" s="24" t="s">
        <v>1</v>
      </c>
      <c r="GB46" s="24" t="s">
        <v>1</v>
      </c>
      <c r="GC46" s="24" t="s">
        <v>1</v>
      </c>
      <c r="GD46" s="24" t="s">
        <v>1</v>
      </c>
      <c r="GE46" s="23"/>
      <c r="GF46" s="19">
        <f>GF44+GF45</f>
        <v>2120</v>
      </c>
      <c r="GG46" s="6" t="s">
        <v>1</v>
      </c>
      <c r="GH46" s="19">
        <f>GH44+GH45</f>
        <v>1159820</v>
      </c>
      <c r="GI46" s="19">
        <f>GI44+GI45</f>
        <v>1159820</v>
      </c>
      <c r="GJ46" s="23">
        <f t="shared" si="208"/>
        <v>-8.660060318828087</v>
      </c>
      <c r="GK46" s="24" t="s">
        <v>1</v>
      </c>
      <c r="GL46" s="23">
        <f t="shared" si="57"/>
        <v>-6.180888669584135</v>
      </c>
      <c r="GM46" s="23">
        <f t="shared" si="57"/>
        <v>-6.180888669584135</v>
      </c>
      <c r="GN46" s="23"/>
      <c r="GO46" s="19">
        <f>GO44+GO45</f>
        <v>1945</v>
      </c>
      <c r="GP46" s="6" t="s">
        <v>1</v>
      </c>
      <c r="GQ46" s="19">
        <f>GQ44+GQ45</f>
        <v>872280</v>
      </c>
      <c r="GR46" s="19">
        <f>GR44+GR45</f>
        <v>872280</v>
      </c>
      <c r="GS46" s="23">
        <f t="shared" si="209"/>
        <v>-8.254716981132077</v>
      </c>
      <c r="GT46" s="24" t="s">
        <v>1</v>
      </c>
      <c r="GU46" s="23">
        <f t="shared" si="59"/>
        <v>-24.791778034522594</v>
      </c>
      <c r="GV46" s="23">
        <f t="shared" si="60"/>
        <v>-24.791778034522594</v>
      </c>
      <c r="GW46" s="23"/>
      <c r="GX46" s="19">
        <f>GX44+GX45</f>
        <v>1938</v>
      </c>
      <c r="GY46" s="6" t="s">
        <v>1</v>
      </c>
      <c r="GZ46" s="19">
        <f>GZ44+GZ45</f>
        <v>1020300</v>
      </c>
      <c r="HA46" s="19">
        <f>HA44+HA45</f>
        <v>1020300</v>
      </c>
      <c r="HB46" s="23">
        <f t="shared" si="210"/>
        <v>-0.35989717223650075</v>
      </c>
      <c r="HC46" s="24" t="s">
        <v>1</v>
      </c>
      <c r="HD46" s="23">
        <f t="shared" si="62"/>
        <v>16.969321777410926</v>
      </c>
      <c r="HE46" s="23">
        <f t="shared" si="63"/>
        <v>16.969321777410926</v>
      </c>
      <c r="HF46" s="23"/>
      <c r="HG46" s="19">
        <f>HG44+HG45</f>
        <v>2207</v>
      </c>
      <c r="HH46" s="6" t="s">
        <v>1</v>
      </c>
      <c r="HI46" s="19">
        <f>HI44+HI45</f>
        <v>1311570</v>
      </c>
      <c r="HJ46" s="19">
        <f>HJ44+HJ45</f>
        <v>1311570</v>
      </c>
      <c r="HK46" s="23">
        <f t="shared" si="211"/>
        <v>13.880288957688336</v>
      </c>
      <c r="HL46" s="24" t="s">
        <v>1</v>
      </c>
      <c r="HM46" s="23">
        <f t="shared" si="105"/>
        <v>28.54748603351956</v>
      </c>
      <c r="HN46" s="23">
        <f t="shared" si="106"/>
        <v>28.54748603351956</v>
      </c>
      <c r="HO46" s="23"/>
      <c r="HP46" s="19">
        <f>HP44+HP45</f>
        <v>2178</v>
      </c>
      <c r="HQ46" s="6" t="s">
        <v>1</v>
      </c>
      <c r="HR46" s="19">
        <f>HR44+HR45</f>
        <v>870240</v>
      </c>
      <c r="HS46" s="19">
        <f>HS44+HS45</f>
        <v>870240</v>
      </c>
      <c r="HT46" s="23">
        <f t="shared" si="212"/>
        <v>-1.314000906207525</v>
      </c>
      <c r="HU46" s="24" t="s">
        <v>1</v>
      </c>
      <c r="HV46" s="23">
        <f t="shared" si="64"/>
        <v>-33.64898556691598</v>
      </c>
      <c r="HW46" s="23">
        <f t="shared" si="65"/>
        <v>-33.64898556691598</v>
      </c>
      <c r="HX46" s="23"/>
      <c r="HY46" s="19">
        <f>HY44+HY45</f>
        <v>2264</v>
      </c>
      <c r="HZ46" s="6" t="s">
        <v>1</v>
      </c>
      <c r="IA46" s="19">
        <f>IA44+IA45</f>
        <v>1014560</v>
      </c>
      <c r="IB46" s="19">
        <f>IB44+IB45</f>
        <v>1014560</v>
      </c>
      <c r="IC46" s="23">
        <f t="shared" si="213"/>
        <v>3.9485766758494094</v>
      </c>
      <c r="ID46" s="24" t="s">
        <v>1</v>
      </c>
      <c r="IE46" s="23">
        <f t="shared" si="42"/>
        <v>16.583930869645158</v>
      </c>
      <c r="IF46" s="23">
        <f t="shared" si="43"/>
        <v>16.583930869645158</v>
      </c>
      <c r="IG46" s="23"/>
      <c r="IH46" s="1" t="s">
        <v>43</v>
      </c>
      <c r="II46" s="29">
        <f t="shared" si="223"/>
        <v>2302.2</v>
      </c>
      <c r="IJ46" s="30">
        <f t="shared" si="224"/>
        <v>531.2619755355452</v>
      </c>
      <c r="IK46" s="29">
        <f t="shared" si="225"/>
        <v>1220748.5</v>
      </c>
      <c r="IL46" s="25">
        <f t="shared" si="226"/>
        <v>-5.394839718530093</v>
      </c>
      <c r="IM46" s="25">
        <f t="shared" si="227"/>
        <v>-100</v>
      </c>
      <c r="IN46" s="25">
        <f t="shared" si="228"/>
        <v>-28.712589038610332</v>
      </c>
      <c r="IP46" s="30">
        <f>HP46*100/Italia!BR46</f>
        <v>18.673175700179787</v>
      </c>
      <c r="IQ46" s="30">
        <f>HR46*100/Italia!BT46</f>
        <v>16.51436210942207</v>
      </c>
      <c r="IR46" s="30">
        <f>HS46*100/Italia!BU46</f>
        <v>16.947733193945837</v>
      </c>
    </row>
    <row r="47" spans="1:252" ht="12">
      <c r="A47" s="1" t="s">
        <v>44</v>
      </c>
      <c r="B47" s="20">
        <v>110</v>
      </c>
      <c r="C47" s="10">
        <v>308.7</v>
      </c>
      <c r="D47" s="11">
        <v>34000</v>
      </c>
      <c r="E47" s="9"/>
      <c r="F47" s="20">
        <v>61</v>
      </c>
      <c r="G47" s="10">
        <v>322.9</v>
      </c>
      <c r="H47" s="11">
        <v>19500</v>
      </c>
      <c r="I47" s="23">
        <f t="shared" si="214"/>
        <v>-44.54545454545455</v>
      </c>
      <c r="J47" s="23">
        <f aca="true" t="shared" si="230" ref="J47:J52">G47*100/C47-100</f>
        <v>4.5999352121801</v>
      </c>
      <c r="K47" s="23">
        <f t="shared" si="215"/>
        <v>-42.64705882352941</v>
      </c>
      <c r="L47" s="8"/>
      <c r="M47" s="20">
        <v>70</v>
      </c>
      <c r="N47" s="10">
        <v>292.3</v>
      </c>
      <c r="O47" s="11">
        <v>20500</v>
      </c>
      <c r="P47" s="23">
        <f t="shared" si="216"/>
        <v>14.754098360655732</v>
      </c>
      <c r="Q47" s="23">
        <f aca="true" t="shared" si="231" ref="Q47:Q52">N47*100/G47-100</f>
        <v>-9.476618148033438</v>
      </c>
      <c r="R47" s="23">
        <f t="shared" si="217"/>
        <v>5.128205128205124</v>
      </c>
      <c r="S47" s="8"/>
      <c r="T47" s="20">
        <v>82</v>
      </c>
      <c r="U47" s="10">
        <v>308.5</v>
      </c>
      <c r="V47" s="11">
        <v>23900</v>
      </c>
      <c r="W47" s="23">
        <f t="shared" si="161"/>
        <v>17.14285714285714</v>
      </c>
      <c r="X47" s="23">
        <f aca="true" t="shared" si="232" ref="X47:X52">U47*100/N47-100</f>
        <v>5.542251111871366</v>
      </c>
      <c r="Y47" s="23">
        <f t="shared" si="162"/>
        <v>16.58536585365853</v>
      </c>
      <c r="Z47" s="8"/>
      <c r="AA47" s="20">
        <v>84</v>
      </c>
      <c r="AB47" s="10">
        <v>302</v>
      </c>
      <c r="AC47" s="11">
        <v>24200</v>
      </c>
      <c r="AD47" s="23">
        <f t="shared" si="163"/>
        <v>2.439024390243901</v>
      </c>
      <c r="AE47" s="23">
        <f aca="true" t="shared" si="233" ref="AE47:AE52">AB47*100/U47-100</f>
        <v>-2.1069692058346874</v>
      </c>
      <c r="AF47" s="23">
        <f t="shared" si="164"/>
        <v>1.2552301255230134</v>
      </c>
      <c r="AG47" s="8"/>
      <c r="AH47" s="20">
        <v>87</v>
      </c>
      <c r="AI47" s="10">
        <v>311.3</v>
      </c>
      <c r="AJ47" s="11">
        <v>26100</v>
      </c>
      <c r="AK47" s="23">
        <f t="shared" si="165"/>
        <v>3.5714285714285694</v>
      </c>
      <c r="AL47" s="23">
        <f aca="true" t="shared" si="234" ref="AL47:AL52">AI47*100/AB47-100</f>
        <v>3.0794701986754944</v>
      </c>
      <c r="AM47" s="23">
        <f t="shared" si="166"/>
        <v>7.8512396694214885</v>
      </c>
      <c r="AN47" s="8"/>
      <c r="AO47" s="20">
        <v>96</v>
      </c>
      <c r="AP47" s="10">
        <v>308.8</v>
      </c>
      <c r="AQ47" s="11">
        <v>29300</v>
      </c>
      <c r="AR47" s="23">
        <f t="shared" si="167"/>
        <v>10.34482758620689</v>
      </c>
      <c r="AS47" s="23">
        <f aca="true" t="shared" si="235" ref="AS47:AS52">AP47*100/AI47-100</f>
        <v>-0.8030838419530966</v>
      </c>
      <c r="AT47" s="23">
        <f t="shared" si="168"/>
        <v>12.260536398467437</v>
      </c>
      <c r="AU47" s="8"/>
      <c r="AV47" s="20">
        <v>96</v>
      </c>
      <c r="AW47" s="10">
        <v>317.6</v>
      </c>
      <c r="AX47" s="11">
        <v>28649</v>
      </c>
      <c r="AY47" s="23">
        <f t="shared" si="169"/>
        <v>0</v>
      </c>
      <c r="AZ47" s="23">
        <f aca="true" t="shared" si="236" ref="AZ47:AZ52">AW47*100/AP47-100</f>
        <v>2.84974093264249</v>
      </c>
      <c r="BA47" s="23">
        <f t="shared" si="170"/>
        <v>-2.221843003412971</v>
      </c>
      <c r="BB47" s="8"/>
      <c r="BC47" s="20">
        <v>88</v>
      </c>
      <c r="BD47" s="10">
        <v>314.8</v>
      </c>
      <c r="BE47" s="11">
        <v>26866</v>
      </c>
      <c r="BF47" s="23">
        <f t="shared" si="171"/>
        <v>-8.333333333333329</v>
      </c>
      <c r="BG47" s="23">
        <f aca="true" t="shared" si="237" ref="BG47:BG52">BD47*100/AW47-100</f>
        <v>-0.8816120906801075</v>
      </c>
      <c r="BH47" s="23">
        <f t="shared" si="172"/>
        <v>-6.223602918077418</v>
      </c>
      <c r="BI47" s="8"/>
      <c r="BJ47" s="20">
        <v>81</v>
      </c>
      <c r="BK47" s="10">
        <v>322.53</v>
      </c>
      <c r="BL47" s="11">
        <v>25300</v>
      </c>
      <c r="BM47" s="23">
        <f t="shared" si="218"/>
        <v>-7.954545454545453</v>
      </c>
      <c r="BN47" s="23">
        <f aca="true" t="shared" si="238" ref="BN47:BN52">BK47*100/BD47-100</f>
        <v>2.4555273189326385</v>
      </c>
      <c r="BO47" s="23">
        <f t="shared" si="173"/>
        <v>-5.828928757537412</v>
      </c>
      <c r="BP47" s="8"/>
      <c r="BQ47" s="20">
        <v>78</v>
      </c>
      <c r="BR47" s="10">
        <v>323.4</v>
      </c>
      <c r="BS47" s="11">
        <v>24395</v>
      </c>
      <c r="BT47" s="23">
        <f t="shared" si="219"/>
        <v>-3.7037037037037095</v>
      </c>
      <c r="BU47" s="23">
        <f aca="true" t="shared" si="239" ref="BU47:BU52">BR47*100/BK47-100</f>
        <v>0.26974234954887777</v>
      </c>
      <c r="BV47" s="23">
        <f t="shared" si="174"/>
        <v>-3.577075098814234</v>
      </c>
      <c r="BW47" s="8"/>
      <c r="BX47" s="20">
        <v>85</v>
      </c>
      <c r="BY47" s="10">
        <v>316.9</v>
      </c>
      <c r="BZ47" s="11">
        <v>25269</v>
      </c>
      <c r="CA47" s="23">
        <f t="shared" si="175"/>
        <v>8.974358974358978</v>
      </c>
      <c r="CB47" s="23">
        <f aca="true" t="shared" si="240" ref="CB47:CB52">BY47*100/BR47-100</f>
        <v>-2.0098948670377297</v>
      </c>
      <c r="CC47" s="23">
        <f t="shared" si="176"/>
        <v>3.5827013732322257</v>
      </c>
      <c r="CD47" s="8"/>
      <c r="CE47" s="20">
        <v>105</v>
      </c>
      <c r="CF47" s="10">
        <v>350.7</v>
      </c>
      <c r="CG47" s="11">
        <v>34827</v>
      </c>
      <c r="CH47" s="23">
        <f t="shared" si="177"/>
        <v>23.529411764705884</v>
      </c>
      <c r="CI47" s="23">
        <f aca="true" t="shared" si="241" ref="CI47:CI52">CF47*100/BY47-100</f>
        <v>10.665825181445257</v>
      </c>
      <c r="CJ47" s="23">
        <f t="shared" si="178"/>
        <v>37.82500296806364</v>
      </c>
      <c r="CK47" s="8"/>
      <c r="CL47" s="20">
        <v>127</v>
      </c>
      <c r="CM47" s="10">
        <v>347.4</v>
      </c>
      <c r="CN47" s="11">
        <v>42105</v>
      </c>
      <c r="CO47" s="23">
        <f t="shared" si="179"/>
        <v>20.95238095238095</v>
      </c>
      <c r="CP47" s="23">
        <f aca="true" t="shared" si="242" ref="CP47:CP52">CM47*100/CF47-100</f>
        <v>-0.9409751924721945</v>
      </c>
      <c r="CQ47" s="23">
        <f t="shared" si="180"/>
        <v>20.897579464208803</v>
      </c>
      <c r="CR47" s="8"/>
      <c r="CS47" s="20">
        <v>124</v>
      </c>
      <c r="CT47" s="10">
        <v>337</v>
      </c>
      <c r="CU47" s="11">
        <v>39765</v>
      </c>
      <c r="CV47" s="23">
        <f t="shared" si="181"/>
        <v>-2.3622047244094517</v>
      </c>
      <c r="CW47" s="23">
        <f aca="true" t="shared" si="243" ref="CW47:CW52">CT47*100/CM47-100</f>
        <v>-2.993667242371899</v>
      </c>
      <c r="CX47" s="23">
        <f t="shared" si="182"/>
        <v>-5.557534734592096</v>
      </c>
      <c r="CY47" s="8"/>
      <c r="CZ47" s="20">
        <v>118</v>
      </c>
      <c r="DA47" s="10">
        <v>427.4</v>
      </c>
      <c r="DB47" s="11">
        <v>48412</v>
      </c>
      <c r="DC47" s="23">
        <f t="shared" si="183"/>
        <v>-4.838709677419359</v>
      </c>
      <c r="DD47" s="23">
        <f aca="true" t="shared" si="244" ref="DD47:DD52">DA47*100/CT47-100</f>
        <v>26.824925816023736</v>
      </c>
      <c r="DE47" s="23">
        <f t="shared" si="184"/>
        <v>21.745253363510628</v>
      </c>
      <c r="DF47" s="8"/>
      <c r="DG47" s="20">
        <v>113</v>
      </c>
      <c r="DH47" s="10">
        <v>435</v>
      </c>
      <c r="DI47" s="11">
        <v>47330</v>
      </c>
      <c r="DJ47" s="23">
        <f t="shared" si="185"/>
        <v>-4.237288135593218</v>
      </c>
      <c r="DK47" s="23">
        <f aca="true" t="shared" si="245" ref="DK47:DK52">DH47*100/DA47-100</f>
        <v>1.7781937295273735</v>
      </c>
      <c r="DL47" s="23">
        <f t="shared" si="186"/>
        <v>-2.2349830620507305</v>
      </c>
      <c r="DM47" s="8"/>
      <c r="DN47" s="20">
        <v>119</v>
      </c>
      <c r="DO47" s="10">
        <v>375.4</v>
      </c>
      <c r="DP47" s="11">
        <v>42600</v>
      </c>
      <c r="DQ47" s="23">
        <f t="shared" si="187"/>
        <v>5.309734513274336</v>
      </c>
      <c r="DR47" s="23">
        <f aca="true" t="shared" si="246" ref="DR47:DR52">DO47*100/DH47-100</f>
        <v>-13.701149425287355</v>
      </c>
      <c r="DS47" s="23">
        <f t="shared" si="188"/>
        <v>-9.993661525459544</v>
      </c>
      <c r="DT47" s="8"/>
      <c r="DU47" s="20">
        <v>111</v>
      </c>
      <c r="DV47" s="10">
        <v>401.9</v>
      </c>
      <c r="DW47" s="11">
        <v>42410</v>
      </c>
      <c r="DX47" s="23">
        <f t="shared" si="189"/>
        <v>-6.722689075630257</v>
      </c>
      <c r="DY47" s="23">
        <f aca="true" t="shared" si="247" ref="DY47:DY52">DV47*100/DO47-100</f>
        <v>7.059136920618016</v>
      </c>
      <c r="DZ47" s="23">
        <f t="shared" si="190"/>
        <v>-0.44600938967136017</v>
      </c>
      <c r="EA47" s="8"/>
      <c r="EB47" s="20">
        <v>121</v>
      </c>
      <c r="EC47" s="10">
        <v>401.8</v>
      </c>
      <c r="ED47" s="11">
        <v>46180</v>
      </c>
      <c r="EE47" s="23">
        <f t="shared" si="191"/>
        <v>9.009009009009006</v>
      </c>
      <c r="EF47" s="23">
        <f aca="true" t="shared" si="248" ref="EF47:EF52">EC47*100/DV47-100</f>
        <v>-0.024881811395857767</v>
      </c>
      <c r="EG47" s="23">
        <f t="shared" si="192"/>
        <v>8.88941287432209</v>
      </c>
      <c r="EH47" s="8"/>
      <c r="EI47" s="20">
        <v>97</v>
      </c>
      <c r="EJ47" s="10">
        <v>335.3</v>
      </c>
      <c r="EK47" s="11">
        <v>30080</v>
      </c>
      <c r="EL47" s="23">
        <f t="shared" si="193"/>
        <v>-19.83471074380165</v>
      </c>
      <c r="EM47" s="23">
        <f aca="true" t="shared" si="249" ref="EM47:EM52">EJ47*100/EC47-100</f>
        <v>-16.55052264808363</v>
      </c>
      <c r="EN47" s="23">
        <f t="shared" si="194"/>
        <v>-34.86357730619315</v>
      </c>
      <c r="EO47" s="8"/>
      <c r="EP47" s="20">
        <v>97</v>
      </c>
      <c r="EQ47" s="10">
        <v>338.1</v>
      </c>
      <c r="ER47" s="11">
        <v>30220</v>
      </c>
      <c r="ES47" s="23">
        <f t="shared" si="195"/>
        <v>0</v>
      </c>
      <c r="ET47" s="23">
        <f aca="true" t="shared" si="250" ref="ET47:ET52">EQ47*100/EJ47-100</f>
        <v>0.8350730688935215</v>
      </c>
      <c r="EU47" s="23">
        <f t="shared" si="196"/>
        <v>0.4654255319148888</v>
      </c>
      <c r="EV47" s="8"/>
      <c r="EW47" s="20">
        <v>95</v>
      </c>
      <c r="EX47" s="10">
        <f>EY47/EW47</f>
        <v>346.10526315789474</v>
      </c>
      <c r="EY47" s="11">
        <v>32880</v>
      </c>
      <c r="EZ47" s="11">
        <v>30070</v>
      </c>
      <c r="FA47" s="23">
        <f t="shared" si="198"/>
        <v>-2.0618556701030997</v>
      </c>
      <c r="FB47" s="23">
        <f aca="true" t="shared" si="251" ref="FB47:FB52">EX47*100/EQ47-100</f>
        <v>2.3677205435949986</v>
      </c>
      <c r="FC47" s="23">
        <f t="shared" si="199"/>
        <v>-0.4963600264725301</v>
      </c>
      <c r="FD47" s="8"/>
      <c r="FE47" s="20">
        <v>96</v>
      </c>
      <c r="FF47" s="10">
        <f t="shared" si="229"/>
        <v>348.3333333333333</v>
      </c>
      <c r="FG47" s="11">
        <v>33440</v>
      </c>
      <c r="FH47" s="11">
        <v>30090</v>
      </c>
      <c r="FI47" s="23">
        <f>FE47*100/EW47-100</f>
        <v>1.05263157894737</v>
      </c>
      <c r="FJ47" s="23">
        <f aca="true" t="shared" si="252" ref="FJ47:FK53">FF47*100/EX47-100</f>
        <v>0.6437550689375371</v>
      </c>
      <c r="FK47" s="23">
        <f t="shared" si="252"/>
        <v>1.7031630170316276</v>
      </c>
      <c r="FL47" s="23">
        <f>FH47*100/EZ47-100</f>
        <v>0.0665114732291272</v>
      </c>
      <c r="FM47" s="23"/>
      <c r="FN47" s="20">
        <v>104</v>
      </c>
      <c r="FO47" s="10">
        <f t="shared" si="220"/>
        <v>327.96153846153845</v>
      </c>
      <c r="FP47" s="11">
        <v>34108</v>
      </c>
      <c r="FQ47" s="11">
        <v>31041</v>
      </c>
      <c r="FR47" s="23">
        <f aca="true" t="shared" si="253" ref="FR47:FS53">FN47*100/FE47-100</f>
        <v>8.333333333333329</v>
      </c>
      <c r="FS47" s="23">
        <f t="shared" si="253"/>
        <v>-5.848362164151638</v>
      </c>
      <c r="FT47" s="23">
        <f t="shared" si="53"/>
        <v>1.9976076555023923</v>
      </c>
      <c r="FU47" s="23">
        <f t="shared" si="53"/>
        <v>3.160518444665996</v>
      </c>
      <c r="FV47" s="23"/>
      <c r="FW47" s="20">
        <v>95</v>
      </c>
      <c r="FX47" s="10">
        <f aca="true" t="shared" si="254" ref="FX47:FX52">FY47/FW47</f>
        <v>339.36842105263156</v>
      </c>
      <c r="FY47" s="20">
        <v>32240</v>
      </c>
      <c r="FZ47" s="20">
        <v>29462</v>
      </c>
      <c r="GA47" s="23">
        <f aca="true" t="shared" si="255" ref="GA47:GD52">FW47*100/FN47-100</f>
        <v>-8.65384615384616</v>
      </c>
      <c r="GB47" s="23">
        <f t="shared" si="255"/>
        <v>3.4781159536580333</v>
      </c>
      <c r="GC47" s="23">
        <f t="shared" si="255"/>
        <v>-5.476721003870054</v>
      </c>
      <c r="GD47" s="23">
        <f t="shared" si="255"/>
        <v>-5.086820656551012</v>
      </c>
      <c r="GE47" s="23"/>
      <c r="GF47" s="20">
        <v>71</v>
      </c>
      <c r="GG47" s="10">
        <f aca="true" t="shared" si="256" ref="GG47:GG52">GH47/GF47</f>
        <v>345.63380281690144</v>
      </c>
      <c r="GH47" s="20">
        <v>24540</v>
      </c>
      <c r="GI47" s="20">
        <v>22460</v>
      </c>
      <c r="GJ47" s="23">
        <f aca="true" t="shared" si="257" ref="GJ47:GK53">GF47*100/FW47-100</f>
        <v>-25.263157894736835</v>
      </c>
      <c r="GK47" s="23">
        <f t="shared" si="257"/>
        <v>1.8461887953028508</v>
      </c>
      <c r="GL47" s="23">
        <f t="shared" si="57"/>
        <v>-23.883374689826297</v>
      </c>
      <c r="GM47" s="23">
        <f t="shared" si="57"/>
        <v>-23.76620731790102</v>
      </c>
      <c r="GN47" s="23"/>
      <c r="GO47" s="20">
        <v>74</v>
      </c>
      <c r="GP47" s="10">
        <f aca="true" t="shared" si="258" ref="GP47:GP52">GQ47/GO47</f>
        <v>340.27027027027026</v>
      </c>
      <c r="GQ47" s="20">
        <v>25180</v>
      </c>
      <c r="GR47" s="20">
        <v>25180</v>
      </c>
      <c r="GS47" s="23">
        <f t="shared" si="209"/>
        <v>4.225352112676063</v>
      </c>
      <c r="GT47" s="23">
        <f t="shared" si="209"/>
        <v>-1.5517962950725916</v>
      </c>
      <c r="GU47" s="23">
        <f t="shared" si="59"/>
        <v>2.6079869600652046</v>
      </c>
      <c r="GV47" s="23">
        <f t="shared" si="60"/>
        <v>12.11041852181657</v>
      </c>
      <c r="GW47" s="23"/>
      <c r="GX47" s="20">
        <v>64</v>
      </c>
      <c r="GY47" s="10">
        <f aca="true" t="shared" si="259" ref="GY47:GY52">GZ47/GX47</f>
        <v>364.84375</v>
      </c>
      <c r="GZ47" s="20">
        <v>23350</v>
      </c>
      <c r="HA47" s="20">
        <v>23350</v>
      </c>
      <c r="HB47" s="23">
        <f t="shared" si="210"/>
        <v>-13.513513513513516</v>
      </c>
      <c r="HC47" s="23">
        <f aca="true" t="shared" si="260" ref="HC47:HC52">GY47*100/GP47-100</f>
        <v>7.221753375695002</v>
      </c>
      <c r="HD47" s="23">
        <f t="shared" si="62"/>
        <v>-7.267672756155676</v>
      </c>
      <c r="HE47" s="23">
        <f t="shared" si="63"/>
        <v>-7.267672756155676</v>
      </c>
      <c r="HF47" s="23"/>
      <c r="HG47" s="20">
        <v>69</v>
      </c>
      <c r="HH47" s="10">
        <f aca="true" t="shared" si="261" ref="HH47:HH52">HI47/HG47</f>
        <v>360.8695652173913</v>
      </c>
      <c r="HI47" s="20">
        <v>24900</v>
      </c>
      <c r="HJ47" s="20">
        <v>24900</v>
      </c>
      <c r="HK47" s="23">
        <f t="shared" si="211"/>
        <v>7.8125</v>
      </c>
      <c r="HL47" s="23">
        <f aca="true" t="shared" si="262" ref="HL47:HL52">HH47*100/GY47-100</f>
        <v>-1.0892840517642668</v>
      </c>
      <c r="HM47" s="23">
        <f t="shared" si="105"/>
        <v>6.638115631691647</v>
      </c>
      <c r="HN47" s="23">
        <f t="shared" si="106"/>
        <v>6.638115631691647</v>
      </c>
      <c r="HO47" s="23"/>
      <c r="HP47" s="20">
        <v>51</v>
      </c>
      <c r="HQ47" s="10">
        <f aca="true" t="shared" si="263" ref="HQ47:HQ52">HR47/HP47</f>
        <v>327.45098039215685</v>
      </c>
      <c r="HR47" s="20">
        <v>16700</v>
      </c>
      <c r="HS47" s="20">
        <v>16700</v>
      </c>
      <c r="HT47" s="23">
        <f t="shared" si="212"/>
        <v>-26.086956521739125</v>
      </c>
      <c r="HU47" s="23">
        <f aca="true" t="shared" si="264" ref="HU47:HU52">HQ47*100/HH47-100</f>
        <v>-9.260571698558948</v>
      </c>
      <c r="HV47" s="23">
        <f t="shared" si="64"/>
        <v>-32.93172690763052</v>
      </c>
      <c r="HW47" s="23">
        <f t="shared" si="65"/>
        <v>-32.93172690763052</v>
      </c>
      <c r="HX47" s="23"/>
      <c r="HY47" s="20">
        <v>49</v>
      </c>
      <c r="HZ47" s="10">
        <f>IA47/HY47</f>
        <v>326.53061224489795</v>
      </c>
      <c r="IA47" s="20">
        <v>16000</v>
      </c>
      <c r="IB47" s="20">
        <v>16000</v>
      </c>
      <c r="IC47" s="23">
        <f t="shared" si="213"/>
        <v>-3.9215686274509807</v>
      </c>
      <c r="ID47" s="23">
        <f>HZ47*100/HQ47-100</f>
        <v>-0.2810705120371466</v>
      </c>
      <c r="IE47" s="23">
        <f t="shared" si="42"/>
        <v>-4.191616766467064</v>
      </c>
      <c r="IF47" s="23">
        <f t="shared" si="43"/>
        <v>-4.191616766467064</v>
      </c>
      <c r="IG47" s="23"/>
      <c r="IH47" s="1" t="s">
        <v>44</v>
      </c>
      <c r="II47" s="29">
        <f t="shared" si="223"/>
        <v>86.2</v>
      </c>
      <c r="IJ47" s="30">
        <f t="shared" si="224"/>
        <v>344.6785944309962</v>
      </c>
      <c r="IK47" s="29">
        <f t="shared" si="225"/>
        <v>27685.3</v>
      </c>
      <c r="IL47" s="25">
        <f t="shared" si="226"/>
        <v>-40.83526682134571</v>
      </c>
      <c r="IM47" s="25">
        <f t="shared" si="227"/>
        <v>-4.998167660303693</v>
      </c>
      <c r="IN47" s="25">
        <f t="shared" si="228"/>
        <v>-39.679179925809</v>
      </c>
      <c r="IP47" s="30">
        <f>HP47*100/Italia!BR47</f>
        <v>1.5310717502251576</v>
      </c>
      <c r="IQ47" s="30">
        <f>HR47*100/Italia!BT47</f>
        <v>1.9764225804504587</v>
      </c>
      <c r="IR47" s="30">
        <f>HS47*100/Italia!BU47</f>
        <v>2.0521869923294904</v>
      </c>
    </row>
    <row r="48" spans="1:252" ht="12">
      <c r="A48" s="1" t="s">
        <v>45</v>
      </c>
      <c r="B48" s="20">
        <v>155</v>
      </c>
      <c r="C48" s="10">
        <f>D48/B48</f>
        <v>281.2903225806452</v>
      </c>
      <c r="D48" s="11">
        <v>43600</v>
      </c>
      <c r="E48" s="9"/>
      <c r="F48" s="20">
        <v>147</v>
      </c>
      <c r="G48" s="10">
        <v>317.3</v>
      </c>
      <c r="H48" s="11">
        <v>46600</v>
      </c>
      <c r="I48" s="23">
        <f t="shared" si="214"/>
        <v>-5.161290322580641</v>
      </c>
      <c r="J48" s="23">
        <f t="shared" si="230"/>
        <v>12.801605504587144</v>
      </c>
      <c r="K48" s="23">
        <f t="shared" si="215"/>
        <v>6.88073394495413</v>
      </c>
      <c r="L48" s="8"/>
      <c r="M48" s="20">
        <v>159</v>
      </c>
      <c r="N48" s="10">
        <v>335.3</v>
      </c>
      <c r="O48" s="11">
        <v>53400</v>
      </c>
      <c r="P48" s="23">
        <f t="shared" si="216"/>
        <v>8.163265306122454</v>
      </c>
      <c r="Q48" s="23">
        <f t="shared" si="231"/>
        <v>5.672864796722337</v>
      </c>
      <c r="R48" s="23">
        <f t="shared" si="217"/>
        <v>14.592274678111593</v>
      </c>
      <c r="S48" s="8"/>
      <c r="T48" s="20">
        <v>162</v>
      </c>
      <c r="U48" s="10">
        <v>358.4</v>
      </c>
      <c r="V48" s="11">
        <v>55000</v>
      </c>
      <c r="W48" s="23">
        <f t="shared" si="161"/>
        <v>1.8867924528301927</v>
      </c>
      <c r="X48" s="23">
        <f t="shared" si="232"/>
        <v>6.889352818371606</v>
      </c>
      <c r="Y48" s="23">
        <f t="shared" si="162"/>
        <v>2.9962546816479403</v>
      </c>
      <c r="Z48" s="8"/>
      <c r="AA48" s="20">
        <v>130</v>
      </c>
      <c r="AB48" s="10">
        <v>349.6</v>
      </c>
      <c r="AC48" s="11">
        <v>42100</v>
      </c>
      <c r="AD48" s="23">
        <f t="shared" si="163"/>
        <v>-19.75308641975309</v>
      </c>
      <c r="AE48" s="23">
        <f t="shared" si="233"/>
        <v>-2.455357142857139</v>
      </c>
      <c r="AF48" s="23">
        <f t="shared" si="164"/>
        <v>-23.454545454545453</v>
      </c>
      <c r="AG48" s="8"/>
      <c r="AH48" s="20">
        <v>109</v>
      </c>
      <c r="AI48" s="10">
        <v>341.4</v>
      </c>
      <c r="AJ48" s="11">
        <v>35000</v>
      </c>
      <c r="AK48" s="23">
        <f t="shared" si="165"/>
        <v>-16.15384615384616</v>
      </c>
      <c r="AL48" s="23">
        <f t="shared" si="234"/>
        <v>-2.3455377574370715</v>
      </c>
      <c r="AM48" s="23">
        <f t="shared" si="166"/>
        <v>-16.864608076009503</v>
      </c>
      <c r="AN48" s="8"/>
      <c r="AO48" s="20">
        <v>108</v>
      </c>
      <c r="AP48" s="10">
        <v>331.4</v>
      </c>
      <c r="AQ48" s="11">
        <v>35000</v>
      </c>
      <c r="AR48" s="23">
        <f t="shared" si="167"/>
        <v>-0.9174311926605441</v>
      </c>
      <c r="AS48" s="23">
        <f t="shared" si="235"/>
        <v>-2.9291154071470373</v>
      </c>
      <c r="AT48" s="23">
        <f t="shared" si="168"/>
        <v>0</v>
      </c>
      <c r="AU48" s="8"/>
      <c r="AV48" s="20">
        <v>97</v>
      </c>
      <c r="AW48" s="10">
        <v>325.8</v>
      </c>
      <c r="AX48" s="11">
        <v>28670</v>
      </c>
      <c r="AY48" s="23">
        <f t="shared" si="169"/>
        <v>-10.18518518518519</v>
      </c>
      <c r="AZ48" s="23">
        <f t="shared" si="236"/>
        <v>-1.689800844900418</v>
      </c>
      <c r="BA48" s="23">
        <f t="shared" si="170"/>
        <v>-18.08571428571429</v>
      </c>
      <c r="BB48" s="8"/>
      <c r="BC48" s="20">
        <v>101</v>
      </c>
      <c r="BD48" s="10">
        <v>327.3</v>
      </c>
      <c r="BE48" s="11">
        <v>32343</v>
      </c>
      <c r="BF48" s="23">
        <f t="shared" si="171"/>
        <v>4.123711340206185</v>
      </c>
      <c r="BG48" s="23">
        <f t="shared" si="237"/>
        <v>0.46040515653774605</v>
      </c>
      <c r="BH48" s="23">
        <f t="shared" si="172"/>
        <v>12.811301011510295</v>
      </c>
      <c r="BI48" s="8"/>
      <c r="BJ48" s="20">
        <v>104</v>
      </c>
      <c r="BK48" s="10">
        <v>328.4</v>
      </c>
      <c r="BL48" s="11">
        <v>33456</v>
      </c>
      <c r="BM48" s="23">
        <f t="shared" si="218"/>
        <v>2.9702970297029765</v>
      </c>
      <c r="BN48" s="23">
        <f t="shared" si="238"/>
        <v>0.3360831041857608</v>
      </c>
      <c r="BO48" s="23">
        <f t="shared" si="173"/>
        <v>3.4412392171412733</v>
      </c>
      <c r="BP48" s="8"/>
      <c r="BQ48" s="20">
        <v>105</v>
      </c>
      <c r="BR48" s="10">
        <v>322.6</v>
      </c>
      <c r="BS48" s="11">
        <v>32447</v>
      </c>
      <c r="BT48" s="23">
        <f t="shared" si="219"/>
        <v>0.961538461538467</v>
      </c>
      <c r="BU48" s="23">
        <f t="shared" si="239"/>
        <v>-1.7661388550547912</v>
      </c>
      <c r="BV48" s="23">
        <f t="shared" si="174"/>
        <v>-3.015901482544237</v>
      </c>
      <c r="BW48" s="8"/>
      <c r="BX48" s="20">
        <v>94</v>
      </c>
      <c r="BY48" s="10">
        <v>335.9</v>
      </c>
      <c r="BZ48" s="11">
        <v>30234</v>
      </c>
      <c r="CA48" s="23">
        <f t="shared" si="175"/>
        <v>-10.476190476190482</v>
      </c>
      <c r="CB48" s="23">
        <f t="shared" si="240"/>
        <v>4.122752634841902</v>
      </c>
      <c r="CC48" s="23">
        <f t="shared" si="176"/>
        <v>-6.820353191358208</v>
      </c>
      <c r="CD48" s="8"/>
      <c r="CE48" s="20">
        <v>66</v>
      </c>
      <c r="CF48" s="10">
        <v>315.8</v>
      </c>
      <c r="CG48" s="11">
        <v>19797</v>
      </c>
      <c r="CH48" s="23">
        <f t="shared" si="177"/>
        <v>-29.787234042553195</v>
      </c>
      <c r="CI48" s="23">
        <f t="shared" si="241"/>
        <v>-5.983923786841316</v>
      </c>
      <c r="CJ48" s="23">
        <f t="shared" si="178"/>
        <v>-34.520738241714625</v>
      </c>
      <c r="CK48" s="8"/>
      <c r="CL48" s="20">
        <v>72</v>
      </c>
      <c r="CM48" s="10">
        <v>320.3</v>
      </c>
      <c r="CN48" s="11">
        <v>22235</v>
      </c>
      <c r="CO48" s="23">
        <f t="shared" si="179"/>
        <v>9.090909090909093</v>
      </c>
      <c r="CP48" s="23">
        <f t="shared" si="242"/>
        <v>1.4249525015832774</v>
      </c>
      <c r="CQ48" s="23">
        <f t="shared" si="180"/>
        <v>12.314997221801278</v>
      </c>
      <c r="CR48" s="8"/>
      <c r="CS48" s="20">
        <v>71</v>
      </c>
      <c r="CT48" s="10">
        <v>309.2</v>
      </c>
      <c r="CU48" s="11">
        <v>21230</v>
      </c>
      <c r="CV48" s="23">
        <f t="shared" si="181"/>
        <v>-1.3888888888888857</v>
      </c>
      <c r="CW48" s="23">
        <f t="shared" si="243"/>
        <v>-3.4655010927255745</v>
      </c>
      <c r="CX48" s="23">
        <f t="shared" si="182"/>
        <v>-4.51990105689228</v>
      </c>
      <c r="CY48" s="8"/>
      <c r="CZ48" s="20">
        <v>59</v>
      </c>
      <c r="DA48" s="10">
        <v>335.6</v>
      </c>
      <c r="DB48" s="11">
        <v>19080</v>
      </c>
      <c r="DC48" s="23">
        <f t="shared" si="183"/>
        <v>-16.901408450704224</v>
      </c>
      <c r="DD48" s="23">
        <f t="shared" si="244"/>
        <v>8.538163001293668</v>
      </c>
      <c r="DE48" s="23">
        <f t="shared" si="184"/>
        <v>-10.12717852096091</v>
      </c>
      <c r="DF48" s="8"/>
      <c r="DG48" s="20">
        <v>59</v>
      </c>
      <c r="DH48" s="10">
        <v>337.1</v>
      </c>
      <c r="DI48" s="11">
        <v>19170</v>
      </c>
      <c r="DJ48" s="23">
        <f t="shared" si="185"/>
        <v>0</v>
      </c>
      <c r="DK48" s="23">
        <f t="shared" si="245"/>
        <v>0.44696066746125496</v>
      </c>
      <c r="DL48" s="23">
        <f t="shared" si="186"/>
        <v>0.47169811320755173</v>
      </c>
      <c r="DM48" s="8"/>
      <c r="DN48" s="20">
        <v>58</v>
      </c>
      <c r="DO48" s="10">
        <v>320.5</v>
      </c>
      <c r="DP48" s="11">
        <v>18040</v>
      </c>
      <c r="DQ48" s="23">
        <f t="shared" si="187"/>
        <v>-1.6949152542372872</v>
      </c>
      <c r="DR48" s="23">
        <f t="shared" si="246"/>
        <v>-4.924354790863248</v>
      </c>
      <c r="DS48" s="23">
        <f t="shared" si="188"/>
        <v>-5.894627021387578</v>
      </c>
      <c r="DT48" s="8"/>
      <c r="DU48" s="20">
        <v>54</v>
      </c>
      <c r="DV48" s="10">
        <v>298.9</v>
      </c>
      <c r="DW48" s="11">
        <v>16140</v>
      </c>
      <c r="DX48" s="23">
        <f t="shared" si="189"/>
        <v>-6.896551724137936</v>
      </c>
      <c r="DY48" s="23">
        <f t="shared" si="247"/>
        <v>-6.739469578783158</v>
      </c>
      <c r="DZ48" s="23">
        <f t="shared" si="190"/>
        <v>-10.532150776053214</v>
      </c>
      <c r="EA48" s="8"/>
      <c r="EB48" s="20">
        <v>58</v>
      </c>
      <c r="EC48" s="10">
        <v>361</v>
      </c>
      <c r="ED48" s="11">
        <v>20940</v>
      </c>
      <c r="EE48" s="23">
        <f t="shared" si="191"/>
        <v>7.407407407407405</v>
      </c>
      <c r="EF48" s="23">
        <f t="shared" si="248"/>
        <v>20.776179324188703</v>
      </c>
      <c r="EG48" s="23">
        <f t="shared" si="192"/>
        <v>29.739776951672866</v>
      </c>
      <c r="EH48" s="8"/>
      <c r="EI48" s="20">
        <v>56</v>
      </c>
      <c r="EJ48" s="10">
        <v>365.8</v>
      </c>
      <c r="EK48" s="11">
        <v>20485</v>
      </c>
      <c r="EL48" s="23">
        <f t="shared" si="193"/>
        <v>-3.448275862068968</v>
      </c>
      <c r="EM48" s="23">
        <f t="shared" si="249"/>
        <v>1.3296398891966703</v>
      </c>
      <c r="EN48" s="23">
        <f t="shared" si="194"/>
        <v>-2.1728748806112748</v>
      </c>
      <c r="EO48" s="8"/>
      <c r="EP48" s="20">
        <v>65</v>
      </c>
      <c r="EQ48" s="10">
        <v>416</v>
      </c>
      <c r="ER48" s="11">
        <v>27040</v>
      </c>
      <c r="ES48" s="23">
        <f t="shared" si="195"/>
        <v>16.07142857142857</v>
      </c>
      <c r="ET48" s="23">
        <f t="shared" si="250"/>
        <v>13.723346090759975</v>
      </c>
      <c r="EU48" s="23">
        <f t="shared" si="196"/>
        <v>31.99902367586037</v>
      </c>
      <c r="EV48" s="8"/>
      <c r="EW48" s="20">
        <v>55</v>
      </c>
      <c r="EX48" s="10">
        <f>EY48/EW48</f>
        <v>337.27272727272725</v>
      </c>
      <c r="EY48" s="11">
        <v>18550</v>
      </c>
      <c r="EZ48" s="11">
        <v>18550</v>
      </c>
      <c r="FA48" s="23">
        <f t="shared" si="198"/>
        <v>-15.384615384615387</v>
      </c>
      <c r="FB48" s="23">
        <f t="shared" si="251"/>
        <v>-18.924825174825173</v>
      </c>
      <c r="FC48" s="23">
        <f t="shared" si="199"/>
        <v>-31.397928994082847</v>
      </c>
      <c r="FD48" s="8"/>
      <c r="FE48" s="20">
        <v>59</v>
      </c>
      <c r="FF48" s="10">
        <f t="shared" si="229"/>
        <v>324.40677966101697</v>
      </c>
      <c r="FG48" s="11">
        <v>19140</v>
      </c>
      <c r="FH48" s="11">
        <v>19140</v>
      </c>
      <c r="FI48" s="23">
        <f>FE48*100/EW48-100</f>
        <v>7.272727272727266</v>
      </c>
      <c r="FJ48" s="23">
        <f t="shared" si="252"/>
        <v>-3.8147014482159847</v>
      </c>
      <c r="FK48" s="23">
        <f t="shared" si="252"/>
        <v>3.1805929919137412</v>
      </c>
      <c r="FL48" s="23">
        <f>FH48*100/EZ48-100</f>
        <v>3.1805929919137412</v>
      </c>
      <c r="FM48" s="23"/>
      <c r="FN48" s="20">
        <v>64</v>
      </c>
      <c r="FO48" s="10">
        <f t="shared" si="220"/>
        <v>324.140625</v>
      </c>
      <c r="FP48" s="11">
        <v>20745</v>
      </c>
      <c r="FQ48" s="11">
        <v>20745</v>
      </c>
      <c r="FR48" s="23">
        <f t="shared" si="253"/>
        <v>8.474576271186436</v>
      </c>
      <c r="FS48" s="23">
        <f t="shared" si="253"/>
        <v>-0.08204349529781041</v>
      </c>
      <c r="FT48" s="23">
        <f t="shared" si="53"/>
        <v>8.385579937304072</v>
      </c>
      <c r="FU48" s="23">
        <f t="shared" si="53"/>
        <v>8.385579937304072</v>
      </c>
      <c r="FV48" s="23"/>
      <c r="FW48" s="20">
        <v>61</v>
      </c>
      <c r="FX48" s="10">
        <f t="shared" si="254"/>
        <v>323.60655737704917</v>
      </c>
      <c r="FY48" s="20">
        <v>19740</v>
      </c>
      <c r="FZ48" s="20">
        <v>19740</v>
      </c>
      <c r="GA48" s="23">
        <f t="shared" si="255"/>
        <v>-4.6875</v>
      </c>
      <c r="GB48" s="23">
        <f t="shared" si="255"/>
        <v>-0.16476417386769526</v>
      </c>
      <c r="GC48" s="23">
        <f t="shared" si="255"/>
        <v>-4.844540853217637</v>
      </c>
      <c r="GD48" s="23">
        <f t="shared" si="255"/>
        <v>-4.844540853217637</v>
      </c>
      <c r="GE48" s="23"/>
      <c r="GF48" s="20">
        <v>52</v>
      </c>
      <c r="GG48" s="10">
        <f t="shared" si="256"/>
        <v>333.84615384615387</v>
      </c>
      <c r="GH48" s="20">
        <v>17360</v>
      </c>
      <c r="GI48" s="20">
        <v>17360</v>
      </c>
      <c r="GJ48" s="23">
        <f t="shared" si="257"/>
        <v>-14.754098360655732</v>
      </c>
      <c r="GK48" s="23">
        <f t="shared" si="257"/>
        <v>3.1642116748499944</v>
      </c>
      <c r="GL48" s="23">
        <f t="shared" si="57"/>
        <v>-12.056737588652481</v>
      </c>
      <c r="GM48" s="23">
        <f t="shared" si="57"/>
        <v>-12.056737588652481</v>
      </c>
      <c r="GN48" s="23"/>
      <c r="GO48" s="20">
        <v>57</v>
      </c>
      <c r="GP48" s="10">
        <f t="shared" si="258"/>
        <v>331.05263157894734</v>
      </c>
      <c r="GQ48" s="20">
        <v>18870</v>
      </c>
      <c r="GR48" s="20">
        <v>18870</v>
      </c>
      <c r="GS48" s="23">
        <f t="shared" si="209"/>
        <v>9.615384615384613</v>
      </c>
      <c r="GT48" s="23">
        <f t="shared" si="209"/>
        <v>-0.8367693427116336</v>
      </c>
      <c r="GU48" s="23">
        <f t="shared" si="59"/>
        <v>8.698156682027644</v>
      </c>
      <c r="GV48" s="23">
        <f t="shared" si="60"/>
        <v>8.698156682027644</v>
      </c>
      <c r="GW48" s="23"/>
      <c r="GX48" s="20">
        <v>46</v>
      </c>
      <c r="GY48" s="10">
        <f t="shared" si="259"/>
        <v>331.7391304347826</v>
      </c>
      <c r="GZ48" s="20">
        <v>15260</v>
      </c>
      <c r="HA48" s="20">
        <v>15260</v>
      </c>
      <c r="HB48" s="23">
        <f t="shared" si="210"/>
        <v>-19.298245614035082</v>
      </c>
      <c r="HC48" s="23">
        <f t="shared" si="260"/>
        <v>0.20736849381351874</v>
      </c>
      <c r="HD48" s="23">
        <f t="shared" si="62"/>
        <v>-19.130895601483843</v>
      </c>
      <c r="HE48" s="23">
        <f t="shared" si="63"/>
        <v>-19.130895601483843</v>
      </c>
      <c r="HF48" s="23"/>
      <c r="HG48" s="20">
        <v>48</v>
      </c>
      <c r="HH48" s="10">
        <f t="shared" si="261"/>
        <v>334.375</v>
      </c>
      <c r="HI48" s="20">
        <v>16050</v>
      </c>
      <c r="HJ48" s="20">
        <v>16050</v>
      </c>
      <c r="HK48" s="23">
        <f t="shared" si="211"/>
        <v>4.347826086956516</v>
      </c>
      <c r="HL48" s="23">
        <f t="shared" si="262"/>
        <v>0.7945609436435035</v>
      </c>
      <c r="HM48" s="23">
        <f t="shared" si="105"/>
        <v>5.176933158584532</v>
      </c>
      <c r="HN48" s="23">
        <f t="shared" si="106"/>
        <v>5.176933158584532</v>
      </c>
      <c r="HO48" s="23"/>
      <c r="HP48" s="20">
        <v>55</v>
      </c>
      <c r="HQ48" s="10">
        <f t="shared" si="263"/>
        <v>331.45454545454544</v>
      </c>
      <c r="HR48" s="20">
        <v>18230</v>
      </c>
      <c r="HS48" s="20">
        <v>18230</v>
      </c>
      <c r="HT48" s="23">
        <f t="shared" si="212"/>
        <v>14.583333333333329</v>
      </c>
      <c r="HU48" s="23">
        <f t="shared" si="264"/>
        <v>-0.8734069668649198</v>
      </c>
      <c r="HV48" s="23">
        <f t="shared" si="64"/>
        <v>13.582554517133957</v>
      </c>
      <c r="HW48" s="23">
        <f t="shared" si="65"/>
        <v>13.582554517133957</v>
      </c>
      <c r="HX48" s="23"/>
      <c r="HY48" s="20">
        <v>52</v>
      </c>
      <c r="HZ48" s="10">
        <f>IA48/HY48</f>
        <v>331.4423076923077</v>
      </c>
      <c r="IA48" s="20">
        <v>17235</v>
      </c>
      <c r="IB48" s="20">
        <v>17235</v>
      </c>
      <c r="IC48" s="23">
        <f t="shared" si="213"/>
        <v>-5.454545454545453</v>
      </c>
      <c r="ID48" s="23">
        <f>HZ48*100/HQ48-100</f>
        <v>-0.0036921389088178103</v>
      </c>
      <c r="IE48" s="23">
        <f t="shared" si="42"/>
        <v>-5.4580362040592405</v>
      </c>
      <c r="IF48" s="23">
        <f t="shared" si="43"/>
        <v>-5.4580362040592405</v>
      </c>
      <c r="IG48" s="23"/>
      <c r="IH48" s="1" t="s">
        <v>45</v>
      </c>
      <c r="II48" s="29">
        <f t="shared" si="223"/>
        <v>56.3</v>
      </c>
      <c r="IJ48" s="30">
        <f t="shared" si="224"/>
        <v>342.2239605170677</v>
      </c>
      <c r="IK48" s="29">
        <f t="shared" si="225"/>
        <v>19324</v>
      </c>
      <c r="IL48" s="25">
        <f t="shared" si="226"/>
        <v>-2.309058614564833</v>
      </c>
      <c r="IM48" s="25">
        <f t="shared" si="227"/>
        <v>-3.1468910143669433</v>
      </c>
      <c r="IN48" s="25">
        <f t="shared" si="228"/>
        <v>-5.661353756986131</v>
      </c>
      <c r="IP48" s="30">
        <f>HP48*100/Italia!BR48</f>
        <v>1.3450721447786744</v>
      </c>
      <c r="IQ48" s="30">
        <f>HR48*100/Italia!BT48</f>
        <v>1.766443769821621</v>
      </c>
      <c r="IR48" s="30">
        <f>HS48*100/Italia!BU48</f>
        <v>1.8261281575338555</v>
      </c>
    </row>
    <row r="49" spans="1:252" ht="12">
      <c r="A49" s="1" t="s">
        <v>123</v>
      </c>
      <c r="B49" s="20">
        <v>196</v>
      </c>
      <c r="C49" s="10">
        <f>43530/B49</f>
        <v>222.09183673469389</v>
      </c>
      <c r="D49" s="11">
        <v>43100</v>
      </c>
      <c r="E49" s="9"/>
      <c r="F49" s="20">
        <v>223</v>
      </c>
      <c r="G49" s="10">
        <f>58090/F49</f>
        <v>260.4932735426009</v>
      </c>
      <c r="H49" s="11">
        <v>57600</v>
      </c>
      <c r="I49" s="23">
        <f t="shared" si="214"/>
        <v>13.775510204081627</v>
      </c>
      <c r="J49" s="23">
        <f t="shared" si="230"/>
        <v>17.29079167091608</v>
      </c>
      <c r="K49" s="23">
        <f t="shared" si="215"/>
        <v>33.64269141531324</v>
      </c>
      <c r="L49" s="8"/>
      <c r="M49" s="20">
        <v>169</v>
      </c>
      <c r="N49" s="10">
        <f>40610/M49</f>
        <v>240.2958579881657</v>
      </c>
      <c r="O49" s="11">
        <v>40200</v>
      </c>
      <c r="P49" s="23">
        <f t="shared" si="216"/>
        <v>-24.215246636771298</v>
      </c>
      <c r="Q49" s="23">
        <f t="shared" si="231"/>
        <v>-7.7535267148201825</v>
      </c>
      <c r="R49" s="23">
        <f t="shared" si="217"/>
        <v>-30.20833333333333</v>
      </c>
      <c r="S49" s="8"/>
      <c r="T49" s="20">
        <v>201</v>
      </c>
      <c r="U49" s="10">
        <v>260.4</v>
      </c>
      <c r="V49" s="11">
        <v>48100</v>
      </c>
      <c r="W49" s="23">
        <f t="shared" si="161"/>
        <v>18.934911242603548</v>
      </c>
      <c r="X49" s="23">
        <f t="shared" si="232"/>
        <v>8.366412213740432</v>
      </c>
      <c r="Y49" s="23">
        <f t="shared" si="162"/>
        <v>19.65174129353234</v>
      </c>
      <c r="Z49" s="8"/>
      <c r="AA49" s="20">
        <v>186</v>
      </c>
      <c r="AB49" s="10">
        <v>263</v>
      </c>
      <c r="AC49" s="11">
        <v>45600</v>
      </c>
      <c r="AD49" s="23">
        <f t="shared" si="163"/>
        <v>-7.462686567164184</v>
      </c>
      <c r="AE49" s="23">
        <f t="shared" si="233"/>
        <v>0.9984639016897177</v>
      </c>
      <c r="AF49" s="23">
        <f t="shared" si="164"/>
        <v>-5.197505197505194</v>
      </c>
      <c r="AG49" s="8"/>
      <c r="AH49" s="20">
        <v>194</v>
      </c>
      <c r="AI49" s="10">
        <v>256.6</v>
      </c>
      <c r="AJ49" s="11">
        <v>46100</v>
      </c>
      <c r="AK49" s="23">
        <f t="shared" si="165"/>
        <v>4.3010752688172005</v>
      </c>
      <c r="AL49" s="23">
        <f t="shared" si="234"/>
        <v>-2.4334600760456198</v>
      </c>
      <c r="AM49" s="23">
        <f t="shared" si="166"/>
        <v>1.0964912280701782</v>
      </c>
      <c r="AN49" s="8"/>
      <c r="AO49" s="20">
        <v>208</v>
      </c>
      <c r="AP49" s="10">
        <v>251.1</v>
      </c>
      <c r="AQ49" s="11">
        <v>47900</v>
      </c>
      <c r="AR49" s="23">
        <f t="shared" si="167"/>
        <v>7.2164948453608275</v>
      </c>
      <c r="AS49" s="23">
        <f t="shared" si="235"/>
        <v>-2.1434138737334507</v>
      </c>
      <c r="AT49" s="23">
        <f t="shared" si="168"/>
        <v>3.9045553145336243</v>
      </c>
      <c r="AU49" s="8"/>
      <c r="AV49" s="20">
        <v>202</v>
      </c>
      <c r="AW49" s="10">
        <v>255.1</v>
      </c>
      <c r="AX49" s="11">
        <v>48680</v>
      </c>
      <c r="AY49" s="23">
        <f t="shared" si="169"/>
        <v>-2.884615384615387</v>
      </c>
      <c r="AZ49" s="23">
        <f t="shared" si="236"/>
        <v>1.5929908403026758</v>
      </c>
      <c r="BA49" s="23">
        <f t="shared" si="170"/>
        <v>1.6283924843423847</v>
      </c>
      <c r="BB49" s="8"/>
      <c r="BC49" s="20">
        <v>214</v>
      </c>
      <c r="BD49" s="10">
        <v>284.2</v>
      </c>
      <c r="BE49" s="11">
        <v>57162</v>
      </c>
      <c r="BF49" s="23">
        <f t="shared" si="171"/>
        <v>5.940594059405939</v>
      </c>
      <c r="BG49" s="23">
        <f t="shared" si="237"/>
        <v>11.407291258330062</v>
      </c>
      <c r="BH49" s="23">
        <f t="shared" si="172"/>
        <v>17.42399342645851</v>
      </c>
      <c r="BI49" s="8"/>
      <c r="BJ49" s="20">
        <v>261</v>
      </c>
      <c r="BK49" s="10">
        <v>320.48</v>
      </c>
      <c r="BL49" s="11">
        <v>82188</v>
      </c>
      <c r="BM49" s="23">
        <f t="shared" si="218"/>
        <v>21.962616822429908</v>
      </c>
      <c r="BN49" s="23">
        <f t="shared" si="238"/>
        <v>12.765657987332872</v>
      </c>
      <c r="BO49" s="23">
        <f t="shared" si="173"/>
        <v>43.78083342080404</v>
      </c>
      <c r="BP49" s="8"/>
      <c r="BQ49" s="20">
        <v>247</v>
      </c>
      <c r="BR49" s="10">
        <v>270</v>
      </c>
      <c r="BS49" s="11">
        <v>62508</v>
      </c>
      <c r="BT49" s="23">
        <f t="shared" si="219"/>
        <v>-5.363984674329501</v>
      </c>
      <c r="BU49" s="23">
        <f t="shared" si="239"/>
        <v>-15.751372940589121</v>
      </c>
      <c r="BV49" s="23">
        <f t="shared" si="174"/>
        <v>-23.945101474667837</v>
      </c>
      <c r="BW49" s="8"/>
      <c r="BX49" s="20">
        <v>202</v>
      </c>
      <c r="BY49" s="10">
        <v>237.8</v>
      </c>
      <c r="BZ49" s="11">
        <v>43980</v>
      </c>
      <c r="CA49" s="23">
        <f t="shared" si="175"/>
        <v>-18.21862348178138</v>
      </c>
      <c r="CB49" s="23">
        <f t="shared" si="240"/>
        <v>-11.925925925925924</v>
      </c>
      <c r="CC49" s="23">
        <f t="shared" si="176"/>
        <v>-29.641005951238242</v>
      </c>
      <c r="CD49" s="8"/>
      <c r="CE49" s="20">
        <v>177</v>
      </c>
      <c r="CF49" s="10">
        <v>289.8</v>
      </c>
      <c r="CG49" s="11">
        <v>48107</v>
      </c>
      <c r="CH49" s="23">
        <f t="shared" si="177"/>
        <v>-12.376237623762378</v>
      </c>
      <c r="CI49" s="23">
        <f t="shared" si="241"/>
        <v>21.867115222876365</v>
      </c>
      <c r="CJ49" s="23">
        <f t="shared" si="178"/>
        <v>9.383810823101413</v>
      </c>
      <c r="CK49" s="8"/>
      <c r="CL49" s="20">
        <v>175</v>
      </c>
      <c r="CM49" s="10">
        <v>297.6</v>
      </c>
      <c r="CN49" s="11">
        <v>49255</v>
      </c>
      <c r="CO49" s="23">
        <f t="shared" si="179"/>
        <v>-1.1299435028248581</v>
      </c>
      <c r="CP49" s="23">
        <f t="shared" si="242"/>
        <v>2.6915113871635725</v>
      </c>
      <c r="CQ49" s="23">
        <f t="shared" si="180"/>
        <v>2.386347101253449</v>
      </c>
      <c r="CR49" s="8"/>
      <c r="CS49" s="20">
        <v>189</v>
      </c>
      <c r="CT49" s="10">
        <v>275.6</v>
      </c>
      <c r="CU49" s="11">
        <v>48730</v>
      </c>
      <c r="CV49" s="23">
        <f t="shared" si="181"/>
        <v>8</v>
      </c>
      <c r="CW49" s="23">
        <f t="shared" si="243"/>
        <v>-7.392473118279568</v>
      </c>
      <c r="CX49" s="23">
        <f t="shared" si="182"/>
        <v>-1.0658816363820875</v>
      </c>
      <c r="CY49" s="8"/>
      <c r="CZ49" s="20">
        <v>170</v>
      </c>
      <c r="DA49" s="10">
        <v>304.2</v>
      </c>
      <c r="DB49" s="11">
        <v>48476</v>
      </c>
      <c r="DC49" s="23">
        <f t="shared" si="183"/>
        <v>-10.05291005291005</v>
      </c>
      <c r="DD49" s="23">
        <f t="shared" si="244"/>
        <v>10.377358490566024</v>
      </c>
      <c r="DE49" s="23">
        <f t="shared" si="184"/>
        <v>-0.5212394828647717</v>
      </c>
      <c r="DF49" s="8"/>
      <c r="DG49" s="20">
        <v>178</v>
      </c>
      <c r="DH49" s="10">
        <v>303</v>
      </c>
      <c r="DI49" s="11">
        <v>50590</v>
      </c>
      <c r="DJ49" s="23">
        <f t="shared" si="185"/>
        <v>4.705882352941174</v>
      </c>
      <c r="DK49" s="23">
        <f t="shared" si="245"/>
        <v>-0.39447731755423376</v>
      </c>
      <c r="DL49" s="23">
        <f t="shared" si="186"/>
        <v>4.360920868058415</v>
      </c>
      <c r="DM49" s="8"/>
      <c r="DN49" s="20">
        <v>185</v>
      </c>
      <c r="DO49" s="10">
        <v>282.2</v>
      </c>
      <c r="DP49" s="11">
        <v>48580</v>
      </c>
      <c r="DQ49" s="23">
        <f t="shared" si="187"/>
        <v>3.932584269662925</v>
      </c>
      <c r="DR49" s="23">
        <f t="shared" si="246"/>
        <v>-6.864686468646866</v>
      </c>
      <c r="DS49" s="23">
        <f t="shared" si="188"/>
        <v>-3.973117216841274</v>
      </c>
      <c r="DT49" s="8"/>
      <c r="DU49" s="20">
        <v>182</v>
      </c>
      <c r="DV49" s="10">
        <v>281.4</v>
      </c>
      <c r="DW49" s="11">
        <v>47335</v>
      </c>
      <c r="DX49" s="23">
        <f t="shared" si="189"/>
        <v>-1.6216216216216282</v>
      </c>
      <c r="DY49" s="23">
        <f t="shared" si="247"/>
        <v>-0.28348688873140304</v>
      </c>
      <c r="DZ49" s="23">
        <f t="shared" si="190"/>
        <v>-2.562783038287364</v>
      </c>
      <c r="EA49" s="8"/>
      <c r="EB49" s="20">
        <v>181</v>
      </c>
      <c r="EC49" s="10">
        <v>318.5</v>
      </c>
      <c r="ED49" s="11">
        <v>53850</v>
      </c>
      <c r="EE49" s="23">
        <f t="shared" si="191"/>
        <v>-0.5494505494505546</v>
      </c>
      <c r="EF49" s="23">
        <f t="shared" si="248"/>
        <v>13.184079601990064</v>
      </c>
      <c r="EG49" s="23">
        <f t="shared" si="192"/>
        <v>13.763599873243905</v>
      </c>
      <c r="EH49" s="8"/>
      <c r="EI49" s="20">
        <v>173</v>
      </c>
      <c r="EJ49" s="10">
        <v>318.1</v>
      </c>
      <c r="EK49" s="11">
        <v>51414</v>
      </c>
      <c r="EL49" s="23">
        <f t="shared" si="193"/>
        <v>-4.41988950276243</v>
      </c>
      <c r="EM49" s="23">
        <f t="shared" si="249"/>
        <v>-0.12558869701726394</v>
      </c>
      <c r="EN49" s="23">
        <f t="shared" si="194"/>
        <v>-4.523676880222837</v>
      </c>
      <c r="EO49" s="8"/>
      <c r="EP49" s="20">
        <v>170</v>
      </c>
      <c r="EQ49" s="10">
        <v>318.1</v>
      </c>
      <c r="ER49" s="11">
        <v>50246</v>
      </c>
      <c r="ES49" s="23">
        <f t="shared" si="195"/>
        <v>-1.734104046242777</v>
      </c>
      <c r="ET49" s="23">
        <f t="shared" si="250"/>
        <v>0</v>
      </c>
      <c r="EU49" s="23">
        <f t="shared" si="196"/>
        <v>-2.2717547749640232</v>
      </c>
      <c r="EV49" s="8"/>
      <c r="EW49" s="20">
        <v>156</v>
      </c>
      <c r="EX49" s="10">
        <f>EY49/EW49</f>
        <v>315.38461538461536</v>
      </c>
      <c r="EY49" s="11">
        <v>49200</v>
      </c>
      <c r="EZ49" s="11">
        <v>45670</v>
      </c>
      <c r="FA49" s="23">
        <f t="shared" si="198"/>
        <v>-8.235294117647058</v>
      </c>
      <c r="FB49" s="23">
        <f t="shared" si="251"/>
        <v>-0.8536260972601895</v>
      </c>
      <c r="FC49" s="23">
        <f t="shared" si="199"/>
        <v>-9.107192612347248</v>
      </c>
      <c r="FD49" s="8"/>
      <c r="FE49" s="20">
        <v>147</v>
      </c>
      <c r="FF49" s="10">
        <f t="shared" si="229"/>
        <v>314.6666666666667</v>
      </c>
      <c r="FG49" s="11">
        <v>46256</v>
      </c>
      <c r="FH49" s="11">
        <v>43126</v>
      </c>
      <c r="FI49" s="23">
        <f>FE49*100/EW49-100</f>
        <v>-5.769230769230774</v>
      </c>
      <c r="FJ49" s="23">
        <f t="shared" si="252"/>
        <v>-0.22764227642275614</v>
      </c>
      <c r="FK49" s="23">
        <f t="shared" si="252"/>
        <v>-5.983739837398375</v>
      </c>
      <c r="FL49" s="23">
        <f>FH49*100/EZ49-100</f>
        <v>-5.570396321436391</v>
      </c>
      <c r="FM49" s="23"/>
      <c r="FN49" s="20">
        <v>142</v>
      </c>
      <c r="FO49" s="10">
        <f t="shared" si="220"/>
        <v>311.86619718309856</v>
      </c>
      <c r="FP49" s="11">
        <v>44285</v>
      </c>
      <c r="FQ49" s="11">
        <v>41339</v>
      </c>
      <c r="FR49" s="23">
        <f t="shared" si="253"/>
        <v>-3.401360544217681</v>
      </c>
      <c r="FS49" s="23">
        <f t="shared" si="253"/>
        <v>-0.8899797087610608</v>
      </c>
      <c r="FT49" s="23">
        <f t="shared" si="53"/>
        <v>-4.261068834313392</v>
      </c>
      <c r="FU49" s="23">
        <f t="shared" si="53"/>
        <v>-4.143672030793482</v>
      </c>
      <c r="FV49" s="23"/>
      <c r="FW49" s="20">
        <v>153</v>
      </c>
      <c r="FX49" s="10">
        <f t="shared" si="254"/>
        <v>295.5882352941176</v>
      </c>
      <c r="FY49" s="20">
        <v>45225</v>
      </c>
      <c r="FZ49" s="20">
        <v>42353</v>
      </c>
      <c r="GA49" s="23">
        <f t="shared" si="255"/>
        <v>7.74647887323944</v>
      </c>
      <c r="GB49" s="23">
        <f t="shared" si="255"/>
        <v>-5.2195339014006805</v>
      </c>
      <c r="GC49" s="23">
        <f t="shared" si="255"/>
        <v>2.1226148808851804</v>
      </c>
      <c r="GD49" s="23">
        <f t="shared" si="255"/>
        <v>2.45288952321053</v>
      </c>
      <c r="GE49" s="23"/>
      <c r="GF49" s="20">
        <v>145</v>
      </c>
      <c r="GG49" s="10">
        <f t="shared" si="256"/>
        <v>304.3448275862069</v>
      </c>
      <c r="GH49" s="20">
        <v>44130</v>
      </c>
      <c r="GI49" s="20">
        <v>41950</v>
      </c>
      <c r="GJ49" s="23">
        <f t="shared" si="257"/>
        <v>-5.228758169934636</v>
      </c>
      <c r="GK49" s="23">
        <f t="shared" si="257"/>
        <v>2.9624292331446327</v>
      </c>
      <c r="GL49" s="23">
        <f t="shared" si="57"/>
        <v>-2.421227197346596</v>
      </c>
      <c r="GM49" s="23">
        <f t="shared" si="57"/>
        <v>-0.9515264562132586</v>
      </c>
      <c r="GN49" s="23"/>
      <c r="GO49" s="20">
        <v>140</v>
      </c>
      <c r="GP49" s="10">
        <f t="shared" si="258"/>
        <v>283.64285714285717</v>
      </c>
      <c r="GQ49" s="20">
        <v>39710</v>
      </c>
      <c r="GR49" s="20">
        <v>39710</v>
      </c>
      <c r="GS49" s="23">
        <f t="shared" si="209"/>
        <v>-3.448275862068968</v>
      </c>
      <c r="GT49" s="23">
        <f t="shared" si="209"/>
        <v>-6.802143019002301</v>
      </c>
      <c r="GU49" s="23">
        <f t="shared" si="59"/>
        <v>-10.015862225243595</v>
      </c>
      <c r="GV49" s="23">
        <f t="shared" si="60"/>
        <v>-5.339690107270556</v>
      </c>
      <c r="GW49" s="23"/>
      <c r="GX49" s="20">
        <v>147</v>
      </c>
      <c r="GY49" s="10">
        <f t="shared" si="259"/>
        <v>285.1020408163265</v>
      </c>
      <c r="GZ49" s="20">
        <v>41910</v>
      </c>
      <c r="HA49" s="20">
        <v>41910</v>
      </c>
      <c r="HB49" s="23">
        <f t="shared" si="210"/>
        <v>5</v>
      </c>
      <c r="HC49" s="23">
        <f t="shared" si="260"/>
        <v>0.5144440047486967</v>
      </c>
      <c r="HD49" s="23">
        <f t="shared" si="62"/>
        <v>5.54016620498615</v>
      </c>
      <c r="HE49" s="23">
        <f t="shared" si="63"/>
        <v>5.54016620498615</v>
      </c>
      <c r="HF49" s="23"/>
      <c r="HG49" s="20">
        <v>142</v>
      </c>
      <c r="HH49" s="10">
        <f t="shared" si="261"/>
        <v>282.6478873239437</v>
      </c>
      <c r="HI49" s="20">
        <v>40136</v>
      </c>
      <c r="HJ49" s="20">
        <v>40136</v>
      </c>
      <c r="HK49" s="23">
        <f t="shared" si="211"/>
        <v>-3.401360544217681</v>
      </c>
      <c r="HL49" s="23">
        <f t="shared" si="262"/>
        <v>-0.8607982900984865</v>
      </c>
      <c r="HM49" s="23">
        <f t="shared" si="105"/>
        <v>-4.232879980911477</v>
      </c>
      <c r="HN49" s="23">
        <f t="shared" si="106"/>
        <v>-4.232879980911477</v>
      </c>
      <c r="HO49" s="23"/>
      <c r="HP49" s="20">
        <v>149</v>
      </c>
      <c r="HQ49" s="10">
        <f t="shared" si="263"/>
        <v>282.4697986577181</v>
      </c>
      <c r="HR49" s="20">
        <v>42088</v>
      </c>
      <c r="HS49" s="20">
        <v>42088</v>
      </c>
      <c r="HT49" s="23">
        <f t="shared" si="212"/>
        <v>4.929577464788736</v>
      </c>
      <c r="HU49" s="23">
        <f t="shared" si="264"/>
        <v>-0.06300725185376166</v>
      </c>
      <c r="HV49" s="23">
        <f t="shared" si="64"/>
        <v>4.863464221646396</v>
      </c>
      <c r="HW49" s="23">
        <f t="shared" si="65"/>
        <v>4.863464221646396</v>
      </c>
      <c r="HX49" s="23"/>
      <c r="HY49" s="20">
        <v>150</v>
      </c>
      <c r="HZ49" s="10">
        <f>IA49/HY49</f>
        <v>284.1</v>
      </c>
      <c r="IA49" s="20">
        <v>42615</v>
      </c>
      <c r="IB49" s="20">
        <v>42615</v>
      </c>
      <c r="IC49" s="23">
        <f t="shared" si="213"/>
        <v>0.671140939597322</v>
      </c>
      <c r="ID49" s="23">
        <f>HZ49*100/HQ49-100</f>
        <v>0.5771241208895788</v>
      </c>
      <c r="IE49" s="23">
        <f t="shared" si="42"/>
        <v>1.2521383767344645</v>
      </c>
      <c r="IF49" s="23">
        <f t="shared" si="43"/>
        <v>1.2521383767344645</v>
      </c>
      <c r="IG49" s="23"/>
      <c r="IH49" s="1" t="s">
        <v>123</v>
      </c>
      <c r="II49" s="29">
        <f t="shared" si="223"/>
        <v>151.5</v>
      </c>
      <c r="IJ49" s="30">
        <f t="shared" si="224"/>
        <v>302.9443327397833</v>
      </c>
      <c r="IK49" s="29">
        <f t="shared" si="225"/>
        <v>43785.4</v>
      </c>
      <c r="IL49" s="25">
        <f t="shared" si="226"/>
        <v>-1.6501650165016457</v>
      </c>
      <c r="IM49" s="25">
        <f t="shared" si="227"/>
        <v>-6.7585136506422</v>
      </c>
      <c r="IN49" s="25">
        <f t="shared" si="228"/>
        <v>-3.8766346773125377</v>
      </c>
      <c r="IP49" s="30">
        <f>HP49*100/Italia!BR49</f>
        <v>0.9155145929339478</v>
      </c>
      <c r="IQ49" s="30">
        <f>HR49*100/Italia!BT49</f>
        <v>1.0086490554100334</v>
      </c>
      <c r="IR49" s="30">
        <f>HS49*100/Italia!BU49</f>
        <v>1.0527932489958092</v>
      </c>
    </row>
    <row r="50" spans="1:252" ht="12">
      <c r="A50" s="1" t="s">
        <v>46</v>
      </c>
      <c r="B50" s="20">
        <v>20</v>
      </c>
      <c r="C50" s="10">
        <f>D50/B50</f>
        <v>250</v>
      </c>
      <c r="D50" s="11">
        <v>5000</v>
      </c>
      <c r="E50" s="9"/>
      <c r="F50" s="20">
        <v>16</v>
      </c>
      <c r="G50" s="10">
        <v>245</v>
      </c>
      <c r="H50" s="11">
        <v>3900</v>
      </c>
      <c r="I50" s="23">
        <f t="shared" si="214"/>
        <v>-20</v>
      </c>
      <c r="J50" s="23">
        <f t="shared" si="230"/>
        <v>-2</v>
      </c>
      <c r="K50" s="23">
        <f t="shared" si="215"/>
        <v>-22</v>
      </c>
      <c r="L50" s="8"/>
      <c r="M50" s="20">
        <v>21</v>
      </c>
      <c r="N50" s="10">
        <v>256.7</v>
      </c>
      <c r="O50" s="11">
        <v>5400</v>
      </c>
      <c r="P50" s="23">
        <f t="shared" si="216"/>
        <v>31.25</v>
      </c>
      <c r="Q50" s="23">
        <f t="shared" si="231"/>
        <v>4.775510204081627</v>
      </c>
      <c r="R50" s="23">
        <f t="shared" si="217"/>
        <v>38.46153846153845</v>
      </c>
      <c r="S50" s="8"/>
      <c r="T50" s="20">
        <v>17</v>
      </c>
      <c r="U50" s="10">
        <v>270.6</v>
      </c>
      <c r="V50" s="11">
        <v>4600</v>
      </c>
      <c r="W50" s="23">
        <f t="shared" si="161"/>
        <v>-19.04761904761905</v>
      </c>
      <c r="X50" s="23">
        <f t="shared" si="232"/>
        <v>5.414881184261802</v>
      </c>
      <c r="Y50" s="23">
        <f t="shared" si="162"/>
        <v>-14.81481481481481</v>
      </c>
      <c r="Z50" s="8"/>
      <c r="AA50" s="20">
        <v>12</v>
      </c>
      <c r="AB50" s="10">
        <f>AC50/AA50</f>
        <v>275</v>
      </c>
      <c r="AC50" s="11">
        <v>3300</v>
      </c>
      <c r="AD50" s="23">
        <f t="shared" si="163"/>
        <v>-29.411764705882348</v>
      </c>
      <c r="AE50" s="23">
        <f t="shared" si="233"/>
        <v>1.6260162601625865</v>
      </c>
      <c r="AF50" s="23">
        <f t="shared" si="164"/>
        <v>-28.26086956521739</v>
      </c>
      <c r="AG50" s="8"/>
      <c r="AH50" s="20">
        <v>10</v>
      </c>
      <c r="AI50" s="10">
        <v>260</v>
      </c>
      <c r="AJ50" s="11">
        <v>2200</v>
      </c>
      <c r="AK50" s="23">
        <f t="shared" si="165"/>
        <v>-16.66666666666667</v>
      </c>
      <c r="AL50" s="23">
        <f t="shared" si="234"/>
        <v>-5.454545454545453</v>
      </c>
      <c r="AM50" s="23">
        <f t="shared" si="166"/>
        <v>-33.33333333333333</v>
      </c>
      <c r="AN50" s="8"/>
      <c r="AO50" s="20">
        <v>10</v>
      </c>
      <c r="AP50" s="10">
        <v>250</v>
      </c>
      <c r="AQ50" s="11">
        <v>2400</v>
      </c>
      <c r="AR50" s="23">
        <f t="shared" si="167"/>
        <v>0</v>
      </c>
      <c r="AS50" s="23">
        <f t="shared" si="235"/>
        <v>-3.8461538461538396</v>
      </c>
      <c r="AT50" s="23">
        <f t="shared" si="168"/>
        <v>9.090909090909093</v>
      </c>
      <c r="AU50" s="8"/>
      <c r="AV50" s="20">
        <v>120</v>
      </c>
      <c r="AW50" s="10">
        <v>125</v>
      </c>
      <c r="AX50" s="11">
        <v>14250</v>
      </c>
      <c r="AY50" s="23">
        <f t="shared" si="169"/>
        <v>1100</v>
      </c>
      <c r="AZ50" s="23">
        <f t="shared" si="236"/>
        <v>-50</v>
      </c>
      <c r="BA50" s="23">
        <f t="shared" si="170"/>
        <v>493.75</v>
      </c>
      <c r="BB50" s="8"/>
      <c r="BC50" s="20">
        <v>120</v>
      </c>
      <c r="BD50" s="10">
        <v>135</v>
      </c>
      <c r="BE50" s="11">
        <v>16200</v>
      </c>
      <c r="BF50" s="23">
        <f t="shared" si="171"/>
        <v>0</v>
      </c>
      <c r="BG50" s="23">
        <f t="shared" si="237"/>
        <v>8</v>
      </c>
      <c r="BH50" s="23">
        <f t="shared" si="172"/>
        <v>13.684210526315795</v>
      </c>
      <c r="BI50" s="8"/>
      <c r="BJ50" s="20">
        <v>230</v>
      </c>
      <c r="BK50" s="10">
        <v>188</v>
      </c>
      <c r="BL50" s="11">
        <v>37829</v>
      </c>
      <c r="BM50" s="23">
        <f t="shared" si="218"/>
        <v>91.66666666666666</v>
      </c>
      <c r="BN50" s="23">
        <f t="shared" si="238"/>
        <v>39.25925925925927</v>
      </c>
      <c r="BO50" s="23">
        <f t="shared" si="173"/>
        <v>133.51234567901236</v>
      </c>
      <c r="BP50" s="8"/>
      <c r="BQ50" s="20">
        <v>230</v>
      </c>
      <c r="BR50" s="10">
        <v>190</v>
      </c>
      <c r="BS50" s="11">
        <v>43700</v>
      </c>
      <c r="BT50" s="23">
        <f t="shared" si="219"/>
        <v>0</v>
      </c>
      <c r="BU50" s="23">
        <f t="shared" si="239"/>
        <v>1.0638297872340416</v>
      </c>
      <c r="BV50" s="23">
        <f t="shared" si="174"/>
        <v>15.519839276745358</v>
      </c>
      <c r="BW50" s="8"/>
      <c r="BX50" s="20">
        <v>130</v>
      </c>
      <c r="BY50" s="10">
        <v>170</v>
      </c>
      <c r="BZ50" s="11">
        <v>22100</v>
      </c>
      <c r="CA50" s="23">
        <f t="shared" si="175"/>
        <v>-43.47826086956522</v>
      </c>
      <c r="CB50" s="23">
        <f t="shared" si="240"/>
        <v>-10.526315789473685</v>
      </c>
      <c r="CC50" s="23">
        <f t="shared" si="176"/>
        <v>-49.4279176201373</v>
      </c>
      <c r="CD50" s="8"/>
      <c r="CE50" s="20">
        <v>0</v>
      </c>
      <c r="CF50" s="10">
        <v>0</v>
      </c>
      <c r="CG50" s="11">
        <v>0</v>
      </c>
      <c r="CH50" s="23">
        <f t="shared" si="177"/>
        <v>-100</v>
      </c>
      <c r="CI50" s="23">
        <f t="shared" si="241"/>
        <v>-100</v>
      </c>
      <c r="CJ50" s="23">
        <f t="shared" si="178"/>
        <v>-100</v>
      </c>
      <c r="CK50" s="8"/>
      <c r="CL50" s="20">
        <v>0</v>
      </c>
      <c r="CM50" s="10">
        <v>0</v>
      </c>
      <c r="CN50" s="11">
        <v>0</v>
      </c>
      <c r="CO50" s="23" t="e">
        <f t="shared" si="179"/>
        <v>#DIV/0!</v>
      </c>
      <c r="CP50" s="23" t="e">
        <f t="shared" si="242"/>
        <v>#DIV/0!</v>
      </c>
      <c r="CQ50" s="23" t="e">
        <f t="shared" si="180"/>
        <v>#DIV/0!</v>
      </c>
      <c r="CR50" s="8"/>
      <c r="CS50" s="20">
        <v>0</v>
      </c>
      <c r="CT50" s="10">
        <v>0</v>
      </c>
      <c r="CU50" s="11">
        <v>0</v>
      </c>
      <c r="CV50" s="23" t="e">
        <f t="shared" si="181"/>
        <v>#DIV/0!</v>
      </c>
      <c r="CW50" s="23" t="e">
        <f t="shared" si="243"/>
        <v>#DIV/0!</v>
      </c>
      <c r="CX50" s="23" t="e">
        <f t="shared" si="182"/>
        <v>#DIV/0!</v>
      </c>
      <c r="CY50" s="8"/>
      <c r="CZ50" s="20">
        <v>0</v>
      </c>
      <c r="DA50" s="10">
        <v>0</v>
      </c>
      <c r="DB50" s="11">
        <v>0</v>
      </c>
      <c r="DC50" s="23" t="e">
        <f t="shared" si="183"/>
        <v>#DIV/0!</v>
      </c>
      <c r="DD50" s="23" t="e">
        <f t="shared" si="244"/>
        <v>#DIV/0!</v>
      </c>
      <c r="DE50" s="23" t="e">
        <f t="shared" si="184"/>
        <v>#DIV/0!</v>
      </c>
      <c r="DF50" s="8"/>
      <c r="DG50" s="20" t="s">
        <v>1</v>
      </c>
      <c r="DH50" s="10" t="s">
        <v>1</v>
      </c>
      <c r="DI50" s="11" t="s">
        <v>1</v>
      </c>
      <c r="DJ50" s="23" t="e">
        <f t="shared" si="185"/>
        <v>#DIV/0!</v>
      </c>
      <c r="DK50" s="23" t="e">
        <f t="shared" si="245"/>
        <v>#DIV/0!</v>
      </c>
      <c r="DL50" s="23" t="e">
        <f t="shared" si="186"/>
        <v>#DIV/0!</v>
      </c>
      <c r="DM50" s="8"/>
      <c r="DN50" s="20" t="s">
        <v>1</v>
      </c>
      <c r="DO50" s="10" t="s">
        <v>1</v>
      </c>
      <c r="DP50" s="11" t="s">
        <v>1</v>
      </c>
      <c r="DQ50" s="23" t="e">
        <f t="shared" si="187"/>
        <v>#DIV/0!</v>
      </c>
      <c r="DR50" s="23" t="e">
        <f t="shared" si="246"/>
        <v>#DIV/0!</v>
      </c>
      <c r="DS50" s="23" t="e">
        <f t="shared" si="188"/>
        <v>#DIV/0!</v>
      </c>
      <c r="DT50" s="8"/>
      <c r="DU50" s="20" t="s">
        <v>1</v>
      </c>
      <c r="DV50" s="10" t="s">
        <v>1</v>
      </c>
      <c r="DW50" s="11" t="s">
        <v>1</v>
      </c>
      <c r="DX50" s="23" t="e">
        <f t="shared" si="189"/>
        <v>#DIV/0!</v>
      </c>
      <c r="DY50" s="23" t="e">
        <f t="shared" si="247"/>
        <v>#DIV/0!</v>
      </c>
      <c r="DZ50" s="23" t="e">
        <f t="shared" si="190"/>
        <v>#DIV/0!</v>
      </c>
      <c r="EA50" s="8"/>
      <c r="EB50" s="20"/>
      <c r="EC50" s="10"/>
      <c r="ED50" s="11"/>
      <c r="EE50" s="23" t="e">
        <f t="shared" si="191"/>
        <v>#DIV/0!</v>
      </c>
      <c r="EF50" s="23" t="e">
        <f t="shared" si="248"/>
        <v>#DIV/0!</v>
      </c>
      <c r="EG50" s="23" t="e">
        <f t="shared" si="192"/>
        <v>#DIV/0!</v>
      </c>
      <c r="EH50" s="8"/>
      <c r="EI50" s="20"/>
      <c r="EJ50" s="10"/>
      <c r="EK50" s="11"/>
      <c r="EL50" s="23" t="e">
        <f t="shared" si="193"/>
        <v>#DIV/0!</v>
      </c>
      <c r="EM50" s="23" t="e">
        <f t="shared" si="249"/>
        <v>#DIV/0!</v>
      </c>
      <c r="EN50" s="23" t="e">
        <f t="shared" si="194"/>
        <v>#DIV/0!</v>
      </c>
      <c r="EO50" s="8"/>
      <c r="EP50" s="35" t="s">
        <v>1</v>
      </c>
      <c r="EQ50" s="35" t="s">
        <v>1</v>
      </c>
      <c r="ER50" s="35" t="s">
        <v>1</v>
      </c>
      <c r="ES50" s="35" t="s">
        <v>1</v>
      </c>
      <c r="ET50" s="35" t="s">
        <v>1</v>
      </c>
      <c r="EU50" s="35" t="s">
        <v>1</v>
      </c>
      <c r="EV50" s="8"/>
      <c r="EW50" s="20" t="s">
        <v>1</v>
      </c>
      <c r="EX50" s="10" t="s">
        <v>1</v>
      </c>
      <c r="EY50" s="10" t="s">
        <v>1</v>
      </c>
      <c r="EZ50" s="11" t="s">
        <v>1</v>
      </c>
      <c r="FA50" s="11" t="s">
        <v>1</v>
      </c>
      <c r="FB50" s="11" t="s">
        <v>1</v>
      </c>
      <c r="FC50" s="11" t="s">
        <v>1</v>
      </c>
      <c r="FD50" s="8"/>
      <c r="FE50" s="6" t="s">
        <v>1</v>
      </c>
      <c r="FF50" s="6" t="s">
        <v>1</v>
      </c>
      <c r="FG50" s="6" t="s">
        <v>1</v>
      </c>
      <c r="FH50" s="6" t="s">
        <v>1</v>
      </c>
      <c r="FI50" s="6" t="s">
        <v>1</v>
      </c>
      <c r="FJ50" s="6" t="s">
        <v>1</v>
      </c>
      <c r="FK50" s="6" t="s">
        <v>1</v>
      </c>
      <c r="FL50" s="6" t="s">
        <v>1</v>
      </c>
      <c r="FM50" s="23"/>
      <c r="FN50" s="35" t="s">
        <v>1</v>
      </c>
      <c r="FO50" s="35" t="s">
        <v>1</v>
      </c>
      <c r="FP50" s="35" t="s">
        <v>1</v>
      </c>
      <c r="FQ50" s="35" t="s">
        <v>1</v>
      </c>
      <c r="FR50" s="35" t="s">
        <v>1</v>
      </c>
      <c r="FS50" s="35" t="s">
        <v>1</v>
      </c>
      <c r="FT50" s="35" t="s">
        <v>1</v>
      </c>
      <c r="FU50" s="35" t="s">
        <v>1</v>
      </c>
      <c r="FV50" s="23"/>
      <c r="FW50" s="35" t="s">
        <v>1</v>
      </c>
      <c r="FX50" s="35" t="s">
        <v>1</v>
      </c>
      <c r="FY50" s="35" t="s">
        <v>1</v>
      </c>
      <c r="FZ50" s="35" t="s">
        <v>1</v>
      </c>
      <c r="GA50" s="35" t="s">
        <v>1</v>
      </c>
      <c r="GB50" s="35" t="s">
        <v>1</v>
      </c>
      <c r="GC50" s="35" t="s">
        <v>1</v>
      </c>
      <c r="GD50" s="35" t="s">
        <v>1</v>
      </c>
      <c r="GE50" s="23"/>
      <c r="GF50" s="35" t="s">
        <v>1</v>
      </c>
      <c r="GG50" s="35" t="s">
        <v>1</v>
      </c>
      <c r="GH50" s="35" t="s">
        <v>1</v>
      </c>
      <c r="GI50" s="35" t="s">
        <v>1</v>
      </c>
      <c r="GJ50" s="35" t="s">
        <v>1</v>
      </c>
      <c r="GK50" s="35" t="s">
        <v>1</v>
      </c>
      <c r="GL50" s="35" t="s">
        <v>1</v>
      </c>
      <c r="GM50" s="35" t="s">
        <v>1</v>
      </c>
      <c r="GN50" s="23"/>
      <c r="GO50" s="35" t="s">
        <v>1</v>
      </c>
      <c r="GP50" s="35" t="s">
        <v>1</v>
      </c>
      <c r="GQ50" s="35" t="s">
        <v>1</v>
      </c>
      <c r="GR50" s="35" t="s">
        <v>1</v>
      </c>
      <c r="GS50" s="35" t="s">
        <v>1</v>
      </c>
      <c r="GT50" s="35" t="s">
        <v>1</v>
      </c>
      <c r="GU50" s="35" t="s">
        <v>1</v>
      </c>
      <c r="GV50" s="35" t="s">
        <v>1</v>
      </c>
      <c r="GW50" s="23"/>
      <c r="GX50" s="35" t="s">
        <v>1</v>
      </c>
      <c r="GY50" s="35" t="s">
        <v>1</v>
      </c>
      <c r="GZ50" s="35" t="s">
        <v>1</v>
      </c>
      <c r="HA50" s="35" t="s">
        <v>1</v>
      </c>
      <c r="HB50" s="35" t="s">
        <v>1</v>
      </c>
      <c r="HC50" s="35" t="s">
        <v>1</v>
      </c>
      <c r="HD50" s="35" t="s">
        <v>1</v>
      </c>
      <c r="HE50" s="35" t="s">
        <v>1</v>
      </c>
      <c r="HF50" s="23"/>
      <c r="HG50" s="35" t="s">
        <v>1</v>
      </c>
      <c r="HH50" s="35" t="s">
        <v>1</v>
      </c>
      <c r="HI50" s="35" t="s">
        <v>1</v>
      </c>
      <c r="HJ50" s="35" t="s">
        <v>1</v>
      </c>
      <c r="HK50" s="35" t="s">
        <v>1</v>
      </c>
      <c r="HL50" s="35" t="s">
        <v>1</v>
      </c>
      <c r="HM50" s="35" t="s">
        <v>1</v>
      </c>
      <c r="HN50" s="35" t="s">
        <v>1</v>
      </c>
      <c r="HO50" s="23"/>
      <c r="HP50" s="35" t="s">
        <v>1</v>
      </c>
      <c r="HQ50" s="35" t="s">
        <v>1</v>
      </c>
      <c r="HR50" s="35" t="s">
        <v>1</v>
      </c>
      <c r="HS50" s="35" t="s">
        <v>1</v>
      </c>
      <c r="HT50" s="35" t="s">
        <v>1</v>
      </c>
      <c r="HU50" s="35" t="s">
        <v>1</v>
      </c>
      <c r="HV50" s="35" t="s">
        <v>1</v>
      </c>
      <c r="HW50" s="35" t="s">
        <v>1</v>
      </c>
      <c r="HX50" s="23"/>
      <c r="HY50" s="35" t="s">
        <v>1</v>
      </c>
      <c r="HZ50" s="35" t="s">
        <v>1</v>
      </c>
      <c r="IA50" s="35" t="s">
        <v>1</v>
      </c>
      <c r="IB50" s="35" t="s">
        <v>1</v>
      </c>
      <c r="IC50" s="35" t="s">
        <v>1</v>
      </c>
      <c r="ID50" s="35" t="s">
        <v>1</v>
      </c>
      <c r="IE50" s="35" t="s">
        <v>1</v>
      </c>
      <c r="IF50" s="35" t="s">
        <v>1</v>
      </c>
      <c r="IG50" s="23"/>
      <c r="IH50" s="1" t="s">
        <v>46</v>
      </c>
      <c r="II50" s="29" t="e">
        <f t="shared" si="223"/>
        <v>#DIV/0!</v>
      </c>
      <c r="IJ50" s="30" t="e">
        <f t="shared" si="224"/>
        <v>#DIV/0!</v>
      </c>
      <c r="IK50" s="29" t="e">
        <f t="shared" si="225"/>
        <v>#DIV/0!</v>
      </c>
      <c r="IL50" s="25" t="e">
        <f t="shared" si="226"/>
        <v>#DIV/0!</v>
      </c>
      <c r="IM50" s="25" t="e">
        <f t="shared" si="227"/>
        <v>#DIV/0!</v>
      </c>
      <c r="IN50" s="25" t="e">
        <f t="shared" si="228"/>
        <v>#DIV/0!</v>
      </c>
      <c r="IP50" s="30">
        <f>HP50*100/Italia!BR50</f>
        <v>0</v>
      </c>
      <c r="IQ50" s="30">
        <f>HR50*100/Italia!BT50</f>
        <v>0</v>
      </c>
      <c r="IR50" s="30">
        <f>HS50*100/Italia!BU50</f>
        <v>0</v>
      </c>
    </row>
    <row r="51" spans="1:252" ht="12">
      <c r="A51" s="1" t="s">
        <v>47</v>
      </c>
      <c r="B51" s="20">
        <v>50</v>
      </c>
      <c r="C51" s="10">
        <f>D51/B51</f>
        <v>230</v>
      </c>
      <c r="D51" s="11">
        <v>11500</v>
      </c>
      <c r="E51" s="9"/>
      <c r="F51" s="20">
        <v>50</v>
      </c>
      <c r="G51" s="10">
        <f>H51/F51</f>
        <v>240</v>
      </c>
      <c r="H51" s="11">
        <v>12000</v>
      </c>
      <c r="I51" s="23">
        <f t="shared" si="214"/>
        <v>0</v>
      </c>
      <c r="J51" s="23">
        <f t="shared" si="230"/>
        <v>4.347826086956516</v>
      </c>
      <c r="K51" s="23">
        <f t="shared" si="215"/>
        <v>4.347826086956516</v>
      </c>
      <c r="L51" s="8"/>
      <c r="M51" s="20">
        <v>45</v>
      </c>
      <c r="N51" s="10">
        <v>233.3</v>
      </c>
      <c r="O51" s="11">
        <v>10500</v>
      </c>
      <c r="P51" s="23">
        <f t="shared" si="216"/>
        <v>-10</v>
      </c>
      <c r="Q51" s="23">
        <f t="shared" si="231"/>
        <v>-2.7916666666666714</v>
      </c>
      <c r="R51" s="23">
        <f t="shared" si="217"/>
        <v>-12.5</v>
      </c>
      <c r="S51" s="8"/>
      <c r="T51" s="20">
        <v>50</v>
      </c>
      <c r="U51" s="10">
        <v>222</v>
      </c>
      <c r="V51" s="11">
        <v>11100</v>
      </c>
      <c r="W51" s="23">
        <f t="shared" si="161"/>
        <v>11.111111111111114</v>
      </c>
      <c r="X51" s="23">
        <f t="shared" si="232"/>
        <v>-4.8435490784397786</v>
      </c>
      <c r="Y51" s="23">
        <f t="shared" si="162"/>
        <v>5.714285714285708</v>
      </c>
      <c r="Z51" s="8"/>
      <c r="AA51" s="20">
        <v>53</v>
      </c>
      <c r="AB51" s="10">
        <v>277.3</v>
      </c>
      <c r="AC51" s="11">
        <v>14700</v>
      </c>
      <c r="AD51" s="23">
        <f t="shared" si="163"/>
        <v>6</v>
      </c>
      <c r="AE51" s="23">
        <f t="shared" si="233"/>
        <v>24.909909909909913</v>
      </c>
      <c r="AF51" s="23">
        <f t="shared" si="164"/>
        <v>32.43243243243242</v>
      </c>
      <c r="AG51" s="8"/>
      <c r="AH51" s="20">
        <v>60</v>
      </c>
      <c r="AI51" s="10">
        <v>287.9</v>
      </c>
      <c r="AJ51" s="11">
        <v>17300</v>
      </c>
      <c r="AK51" s="23">
        <f t="shared" si="165"/>
        <v>13.20754716981132</v>
      </c>
      <c r="AL51" s="23">
        <f t="shared" si="234"/>
        <v>3.8225748287053563</v>
      </c>
      <c r="AM51" s="23">
        <f t="shared" si="166"/>
        <v>17.687074829931973</v>
      </c>
      <c r="AN51" s="8"/>
      <c r="AO51" s="20">
        <v>67</v>
      </c>
      <c r="AP51" s="10">
        <v>291</v>
      </c>
      <c r="AQ51" s="11">
        <v>19500</v>
      </c>
      <c r="AR51" s="23">
        <f t="shared" si="167"/>
        <v>11.666666666666671</v>
      </c>
      <c r="AS51" s="23">
        <f t="shared" si="235"/>
        <v>1.0767627648489082</v>
      </c>
      <c r="AT51" s="23">
        <f t="shared" si="168"/>
        <v>12.71676300578035</v>
      </c>
      <c r="AU51" s="8"/>
      <c r="AV51" s="20">
        <v>57</v>
      </c>
      <c r="AW51" s="10">
        <v>254.2</v>
      </c>
      <c r="AX51" s="11">
        <v>13210</v>
      </c>
      <c r="AY51" s="23">
        <f t="shared" si="169"/>
        <v>-14.925373134328353</v>
      </c>
      <c r="AZ51" s="23">
        <f t="shared" si="236"/>
        <v>-12.646048109965633</v>
      </c>
      <c r="BA51" s="23">
        <f t="shared" si="170"/>
        <v>-32.25641025641026</v>
      </c>
      <c r="BB51" s="8"/>
      <c r="BC51" s="20">
        <v>60</v>
      </c>
      <c r="BD51" s="10">
        <v>266.4</v>
      </c>
      <c r="BE51" s="11">
        <v>15984</v>
      </c>
      <c r="BF51" s="23">
        <f t="shared" si="171"/>
        <v>5.263157894736835</v>
      </c>
      <c r="BG51" s="23">
        <f t="shared" si="237"/>
        <v>4.799370574350888</v>
      </c>
      <c r="BH51" s="23">
        <f t="shared" si="172"/>
        <v>20.999242997729</v>
      </c>
      <c r="BI51" s="8"/>
      <c r="BJ51" s="20">
        <v>47</v>
      </c>
      <c r="BK51" s="10">
        <v>332.3</v>
      </c>
      <c r="BL51" s="11">
        <v>14061</v>
      </c>
      <c r="BM51" s="23">
        <f t="shared" si="218"/>
        <v>-21.66666666666667</v>
      </c>
      <c r="BN51" s="23">
        <f t="shared" si="238"/>
        <v>24.737237237237252</v>
      </c>
      <c r="BO51" s="23">
        <f t="shared" si="173"/>
        <v>-12.030780780780788</v>
      </c>
      <c r="BP51" s="8"/>
      <c r="BQ51" s="20">
        <v>48</v>
      </c>
      <c r="BR51" s="10">
        <v>366</v>
      </c>
      <c r="BS51" s="11">
        <v>15693</v>
      </c>
      <c r="BT51" s="23">
        <f t="shared" si="219"/>
        <v>2.1276595744680833</v>
      </c>
      <c r="BU51" s="23">
        <f t="shared" si="239"/>
        <v>10.141438459223593</v>
      </c>
      <c r="BV51" s="23">
        <f t="shared" si="174"/>
        <v>11.606571367612545</v>
      </c>
      <c r="BW51" s="8"/>
      <c r="BX51" s="20">
        <v>58</v>
      </c>
      <c r="BY51" s="10">
        <v>355.2</v>
      </c>
      <c r="BZ51" s="11">
        <v>18500</v>
      </c>
      <c r="CA51" s="23">
        <f t="shared" si="175"/>
        <v>20.83333333333333</v>
      </c>
      <c r="CB51" s="23">
        <f t="shared" si="240"/>
        <v>-2.9508196721311464</v>
      </c>
      <c r="CC51" s="23">
        <f t="shared" si="176"/>
        <v>17.88695596762888</v>
      </c>
      <c r="CD51" s="8"/>
      <c r="CE51" s="20">
        <v>59</v>
      </c>
      <c r="CF51" s="10">
        <v>366.1</v>
      </c>
      <c r="CG51" s="11">
        <v>19450</v>
      </c>
      <c r="CH51" s="23">
        <f t="shared" si="177"/>
        <v>1.7241379310344769</v>
      </c>
      <c r="CI51" s="23">
        <f t="shared" si="241"/>
        <v>3.068693693693703</v>
      </c>
      <c r="CJ51" s="23">
        <f t="shared" si="178"/>
        <v>5.13513513513513</v>
      </c>
      <c r="CK51" s="8"/>
      <c r="CL51" s="20">
        <v>51</v>
      </c>
      <c r="CM51" s="10">
        <v>384.7</v>
      </c>
      <c r="CN51" s="11">
        <v>17370</v>
      </c>
      <c r="CO51" s="23">
        <f t="shared" si="179"/>
        <v>-13.559322033898312</v>
      </c>
      <c r="CP51" s="23">
        <f t="shared" si="242"/>
        <v>5.080579076754972</v>
      </c>
      <c r="CQ51" s="23">
        <f t="shared" si="180"/>
        <v>-10.69408740359897</v>
      </c>
      <c r="CR51" s="8"/>
      <c r="CS51" s="20">
        <v>52</v>
      </c>
      <c r="CT51" s="10">
        <v>457.7</v>
      </c>
      <c r="CU51" s="11">
        <v>20920</v>
      </c>
      <c r="CV51" s="23">
        <f t="shared" si="181"/>
        <v>1.9607843137254832</v>
      </c>
      <c r="CW51" s="23">
        <f t="shared" si="243"/>
        <v>18.975825318429955</v>
      </c>
      <c r="CX51" s="23">
        <f t="shared" si="182"/>
        <v>20.437535981577426</v>
      </c>
      <c r="CY51" s="8"/>
      <c r="CZ51" s="20">
        <v>52</v>
      </c>
      <c r="DA51" s="10">
        <v>453.8</v>
      </c>
      <c r="DB51" s="11">
        <v>20700</v>
      </c>
      <c r="DC51" s="23">
        <f t="shared" si="183"/>
        <v>0</v>
      </c>
      <c r="DD51" s="23">
        <f t="shared" si="244"/>
        <v>-0.852086519554291</v>
      </c>
      <c r="DE51" s="23">
        <f t="shared" si="184"/>
        <v>-1.0516252390057304</v>
      </c>
      <c r="DF51" s="8"/>
      <c r="DG51" s="20">
        <v>56</v>
      </c>
      <c r="DH51" s="10">
        <v>446.8</v>
      </c>
      <c r="DI51" s="11">
        <v>21970</v>
      </c>
      <c r="DJ51" s="23">
        <f t="shared" si="185"/>
        <v>7.692307692307693</v>
      </c>
      <c r="DK51" s="23">
        <f t="shared" si="245"/>
        <v>-1.542529748788013</v>
      </c>
      <c r="DL51" s="23">
        <f t="shared" si="186"/>
        <v>6.135265700483089</v>
      </c>
      <c r="DM51" s="8"/>
      <c r="DN51" s="20">
        <v>56</v>
      </c>
      <c r="DO51" s="10">
        <v>460.7</v>
      </c>
      <c r="DP51" s="11">
        <v>22550</v>
      </c>
      <c r="DQ51" s="23">
        <f t="shared" si="187"/>
        <v>0</v>
      </c>
      <c r="DR51" s="23">
        <f t="shared" si="246"/>
        <v>3.111011638316924</v>
      </c>
      <c r="DS51" s="23">
        <f t="shared" si="188"/>
        <v>2.6399635867091433</v>
      </c>
      <c r="DT51" s="8"/>
      <c r="DU51" s="20">
        <v>63</v>
      </c>
      <c r="DV51" s="10">
        <v>448.4</v>
      </c>
      <c r="DW51" s="11">
        <v>27150</v>
      </c>
      <c r="DX51" s="23">
        <f t="shared" si="189"/>
        <v>12.5</v>
      </c>
      <c r="DY51" s="23">
        <f t="shared" si="247"/>
        <v>-2.66985022791404</v>
      </c>
      <c r="DZ51" s="23">
        <f t="shared" si="190"/>
        <v>20.399113082039918</v>
      </c>
      <c r="EA51" s="8"/>
      <c r="EB51" s="20">
        <v>64</v>
      </c>
      <c r="EC51" s="10">
        <v>439.8</v>
      </c>
      <c r="ED51" s="11">
        <v>26110</v>
      </c>
      <c r="EE51" s="23">
        <f t="shared" si="191"/>
        <v>1.5873015873015817</v>
      </c>
      <c r="EF51" s="23">
        <f t="shared" si="248"/>
        <v>-1.917930419268501</v>
      </c>
      <c r="EG51" s="23">
        <f t="shared" si="192"/>
        <v>-3.8305709023941006</v>
      </c>
      <c r="EH51" s="8"/>
      <c r="EI51" s="20">
        <v>69</v>
      </c>
      <c r="EJ51" s="10">
        <v>449.9</v>
      </c>
      <c r="EK51" s="11">
        <v>28940</v>
      </c>
      <c r="EL51" s="23">
        <f t="shared" si="193"/>
        <v>7.8125</v>
      </c>
      <c r="EM51" s="23">
        <f t="shared" si="249"/>
        <v>2.296498408367441</v>
      </c>
      <c r="EN51" s="23">
        <f t="shared" si="194"/>
        <v>10.838759096131753</v>
      </c>
      <c r="EO51" s="8"/>
      <c r="EP51" s="20">
        <v>57</v>
      </c>
      <c r="EQ51" s="10">
        <v>400</v>
      </c>
      <c r="ER51" s="11">
        <v>21600</v>
      </c>
      <c r="ES51" s="23">
        <f t="shared" si="195"/>
        <v>-17.391304347826093</v>
      </c>
      <c r="ET51" s="23">
        <f t="shared" si="250"/>
        <v>-11.091353634140916</v>
      </c>
      <c r="EU51" s="23">
        <f t="shared" si="196"/>
        <v>-25.3628196268141</v>
      </c>
      <c r="EV51" s="8"/>
      <c r="EW51" s="20">
        <v>55</v>
      </c>
      <c r="EX51" s="10">
        <f aca="true" t="shared" si="265" ref="EX51:EX83">EY51/EW51</f>
        <v>401.45454545454544</v>
      </c>
      <c r="EY51" s="11">
        <v>22080</v>
      </c>
      <c r="EZ51" s="11">
        <v>20880</v>
      </c>
      <c r="FA51" s="23">
        <f t="shared" si="198"/>
        <v>-3.5087719298245617</v>
      </c>
      <c r="FB51" s="23">
        <f t="shared" si="251"/>
        <v>0.36363636363635976</v>
      </c>
      <c r="FC51" s="23">
        <f t="shared" si="199"/>
        <v>-3.3333333333333286</v>
      </c>
      <c r="FD51" s="8"/>
      <c r="FE51" s="20">
        <v>50</v>
      </c>
      <c r="FF51" s="10">
        <f t="shared" si="229"/>
        <v>356.8</v>
      </c>
      <c r="FG51" s="11">
        <v>17840</v>
      </c>
      <c r="FH51" s="11">
        <v>17240</v>
      </c>
      <c r="FI51" s="23">
        <f aca="true" t="shared" si="266" ref="FI51:FI83">FE51*100/EW51-100</f>
        <v>-9.090909090909093</v>
      </c>
      <c r="FJ51" s="23">
        <f t="shared" si="252"/>
        <v>-11.123188405797094</v>
      </c>
      <c r="FK51" s="23">
        <f t="shared" si="252"/>
        <v>-19.20289855072464</v>
      </c>
      <c r="FL51" s="23">
        <f aca="true" t="shared" si="267" ref="FL51:FL83">FH51*100/EZ51-100</f>
        <v>-17.43295019157088</v>
      </c>
      <c r="FM51" s="23"/>
      <c r="FN51" s="20">
        <v>51</v>
      </c>
      <c r="FO51" s="10">
        <f t="shared" si="220"/>
        <v>382.3529411764706</v>
      </c>
      <c r="FP51" s="11">
        <v>19500</v>
      </c>
      <c r="FQ51" s="11">
        <v>18900</v>
      </c>
      <c r="FR51" s="23">
        <f t="shared" si="253"/>
        <v>2</v>
      </c>
      <c r="FS51" s="23">
        <f t="shared" si="253"/>
        <v>7.161698760221583</v>
      </c>
      <c r="FT51" s="23">
        <f t="shared" si="53"/>
        <v>9.304932735426007</v>
      </c>
      <c r="FU51" s="23">
        <f t="shared" si="53"/>
        <v>9.62877030162413</v>
      </c>
      <c r="FV51" s="23"/>
      <c r="FW51" s="20">
        <v>50</v>
      </c>
      <c r="FX51" s="10">
        <f t="shared" si="254"/>
        <v>398.4</v>
      </c>
      <c r="FY51" s="20">
        <v>19920</v>
      </c>
      <c r="FZ51" s="20">
        <v>19920</v>
      </c>
      <c r="GA51" s="23">
        <f t="shared" si="255"/>
        <v>-1.9607843137254832</v>
      </c>
      <c r="GB51" s="23">
        <f t="shared" si="255"/>
        <v>4.1969230769230705</v>
      </c>
      <c r="GC51" s="23">
        <f t="shared" si="255"/>
        <v>2.1538461538461604</v>
      </c>
      <c r="GD51" s="23">
        <f t="shared" si="255"/>
        <v>5.396825396825392</v>
      </c>
      <c r="GE51" s="23"/>
      <c r="GF51" s="20">
        <v>34</v>
      </c>
      <c r="GG51" s="10">
        <f t="shared" si="256"/>
        <v>367.05882352941177</v>
      </c>
      <c r="GH51" s="20">
        <v>12480</v>
      </c>
      <c r="GI51" s="20">
        <v>12480</v>
      </c>
      <c r="GJ51" s="23">
        <f t="shared" si="257"/>
        <v>-32</v>
      </c>
      <c r="GK51" s="23">
        <f t="shared" si="257"/>
        <v>-7.866761162296243</v>
      </c>
      <c r="GL51" s="23">
        <f t="shared" si="57"/>
        <v>-37.34939759036145</v>
      </c>
      <c r="GM51" s="23">
        <f t="shared" si="57"/>
        <v>-37.34939759036145</v>
      </c>
      <c r="GN51" s="23"/>
      <c r="GO51" s="20">
        <v>26</v>
      </c>
      <c r="GP51" s="10">
        <f t="shared" si="258"/>
        <v>416.9230769230769</v>
      </c>
      <c r="GQ51" s="20">
        <v>10840</v>
      </c>
      <c r="GR51" s="20">
        <v>10840</v>
      </c>
      <c r="GS51" s="23">
        <f t="shared" si="209"/>
        <v>-23.529411764705884</v>
      </c>
      <c r="GT51" s="23">
        <f t="shared" si="209"/>
        <v>13.584812623274146</v>
      </c>
      <c r="GU51" s="23">
        <f t="shared" si="59"/>
        <v>-13.141025641025635</v>
      </c>
      <c r="GV51" s="23">
        <f t="shared" si="60"/>
        <v>-13.141025641025635</v>
      </c>
      <c r="GW51" s="23"/>
      <c r="GX51" s="20">
        <v>22</v>
      </c>
      <c r="GY51" s="10">
        <f t="shared" si="259"/>
        <v>414.54545454545456</v>
      </c>
      <c r="GZ51" s="20">
        <v>9120</v>
      </c>
      <c r="HA51" s="20">
        <v>9120</v>
      </c>
      <c r="HB51" s="23">
        <f t="shared" si="210"/>
        <v>-15.384615384615387</v>
      </c>
      <c r="HC51" s="23">
        <f t="shared" si="260"/>
        <v>-0.5702784300570158</v>
      </c>
      <c r="HD51" s="23">
        <f t="shared" si="62"/>
        <v>-15.867158671586722</v>
      </c>
      <c r="HE51" s="23">
        <f t="shared" si="63"/>
        <v>-15.867158671586722</v>
      </c>
      <c r="HF51" s="23"/>
      <c r="HG51" s="20">
        <v>20</v>
      </c>
      <c r="HH51" s="10">
        <f t="shared" si="261"/>
        <v>430</v>
      </c>
      <c r="HI51" s="20">
        <v>8600</v>
      </c>
      <c r="HJ51" s="20">
        <v>8600</v>
      </c>
      <c r="HK51" s="23">
        <f t="shared" si="211"/>
        <v>-9.090909090909093</v>
      </c>
      <c r="HL51" s="23">
        <f t="shared" si="262"/>
        <v>3.7280701754385888</v>
      </c>
      <c r="HM51" s="23">
        <f t="shared" si="105"/>
        <v>-5.701754385964918</v>
      </c>
      <c r="HN51" s="23">
        <f t="shared" si="106"/>
        <v>-5.701754385964918</v>
      </c>
      <c r="HO51" s="23"/>
      <c r="HP51" s="20">
        <v>22</v>
      </c>
      <c r="HQ51" s="10">
        <f t="shared" si="263"/>
        <v>418.1818181818182</v>
      </c>
      <c r="HR51" s="20">
        <v>9200</v>
      </c>
      <c r="HS51" s="20">
        <v>9200</v>
      </c>
      <c r="HT51" s="23">
        <f t="shared" si="212"/>
        <v>10</v>
      </c>
      <c r="HU51" s="23">
        <f t="shared" si="264"/>
        <v>-2.7484143763213638</v>
      </c>
      <c r="HV51" s="23">
        <f t="shared" si="64"/>
        <v>6.976744186046517</v>
      </c>
      <c r="HW51" s="23">
        <f t="shared" si="65"/>
        <v>6.976744186046517</v>
      </c>
      <c r="HX51" s="23"/>
      <c r="HY51" s="20"/>
      <c r="HZ51" s="10" t="e">
        <f>IA51/HY51</f>
        <v>#DIV/0!</v>
      </c>
      <c r="IA51" s="20"/>
      <c r="IB51" s="20"/>
      <c r="IC51" s="23">
        <f aca="true" t="shared" si="268" ref="IC51:IC56">HY51*100/HP51-100</f>
        <v>-100</v>
      </c>
      <c r="ID51" s="23" t="e">
        <f>HZ51*100/HQ51-100</f>
        <v>#DIV/0!</v>
      </c>
      <c r="IE51" s="23">
        <f aca="true" t="shared" si="269" ref="IE51:IE62">IA51*100/HR51-100</f>
        <v>-100</v>
      </c>
      <c r="IF51" s="23">
        <f aca="true" t="shared" si="270" ref="IF51:IF62">IB51*100/HS51-100</f>
        <v>-100</v>
      </c>
      <c r="IG51" s="23"/>
      <c r="IH51" s="1" t="s">
        <v>47</v>
      </c>
      <c r="II51" s="29">
        <f t="shared" si="223"/>
        <v>43.4</v>
      </c>
      <c r="IJ51" s="30">
        <f t="shared" si="224"/>
        <v>401.7434841628959</v>
      </c>
      <c r="IK51" s="29">
        <f t="shared" si="225"/>
        <v>16852</v>
      </c>
      <c r="IL51" s="25">
        <f t="shared" si="226"/>
        <v>-49.30875576036866</v>
      </c>
      <c r="IM51" s="25">
        <f t="shared" si="227"/>
        <v>4.091748756840303</v>
      </c>
      <c r="IN51" s="25">
        <f t="shared" si="228"/>
        <v>-45.40707334441016</v>
      </c>
      <c r="IP51" s="30">
        <f>HP51*100/Italia!BR51</f>
        <v>1.6936104695919938</v>
      </c>
      <c r="IQ51" s="30">
        <f>HR51*100/Italia!BT51</f>
        <v>4.176900830386045</v>
      </c>
      <c r="IR51" s="30">
        <f>HS51*100/Italia!BU51</f>
        <v>4.408875257583745</v>
      </c>
    </row>
    <row r="52" spans="1:252" ht="12">
      <c r="A52" s="1" t="s">
        <v>48</v>
      </c>
      <c r="B52" s="22">
        <v>31.5</v>
      </c>
      <c r="C52" s="10">
        <v>474.6</v>
      </c>
      <c r="D52" s="11">
        <v>14605</v>
      </c>
      <c r="E52" s="9"/>
      <c r="F52" s="22">
        <v>30.05</v>
      </c>
      <c r="G52" s="10">
        <v>499</v>
      </c>
      <c r="H52" s="11">
        <v>14820</v>
      </c>
      <c r="I52" s="23">
        <f t="shared" si="214"/>
        <v>-4.603174603174608</v>
      </c>
      <c r="J52" s="23">
        <f t="shared" si="230"/>
        <v>5.141171512852921</v>
      </c>
      <c r="K52" s="23">
        <f t="shared" si="215"/>
        <v>1.4720985963711115</v>
      </c>
      <c r="L52" s="8"/>
      <c r="M52" s="22">
        <v>24.4</v>
      </c>
      <c r="N52" s="10">
        <f>13155/M52</f>
        <v>539.1393442622951</v>
      </c>
      <c r="O52" s="11">
        <v>12985</v>
      </c>
      <c r="P52" s="23">
        <f t="shared" si="216"/>
        <v>-18.80199667221298</v>
      </c>
      <c r="Q52" s="23">
        <f t="shared" si="231"/>
        <v>8.043956765991013</v>
      </c>
      <c r="R52" s="23">
        <f t="shared" si="217"/>
        <v>-12.38191632928475</v>
      </c>
      <c r="S52" s="8"/>
      <c r="T52" s="22">
        <v>31.1</v>
      </c>
      <c r="U52" s="10">
        <v>555.5</v>
      </c>
      <c r="V52" s="11">
        <v>17155</v>
      </c>
      <c r="W52" s="23">
        <f t="shared" si="161"/>
        <v>27.459016393442624</v>
      </c>
      <c r="X52" s="23">
        <f t="shared" si="232"/>
        <v>3.034587609274027</v>
      </c>
      <c r="Y52" s="23">
        <f t="shared" si="162"/>
        <v>32.11397766653832</v>
      </c>
      <c r="Z52" s="8"/>
      <c r="AA52" s="22">
        <v>36.6</v>
      </c>
      <c r="AB52" s="10">
        <f>19545/AA52</f>
        <v>534.016393442623</v>
      </c>
      <c r="AC52" s="11">
        <v>19470</v>
      </c>
      <c r="AD52" s="23">
        <f t="shared" si="163"/>
        <v>17.684887459807072</v>
      </c>
      <c r="AE52" s="23">
        <f t="shared" si="233"/>
        <v>-3.8674359239202545</v>
      </c>
      <c r="AF52" s="23">
        <f t="shared" si="164"/>
        <v>13.49460798600991</v>
      </c>
      <c r="AG52" s="8"/>
      <c r="AH52" s="22">
        <v>36.48</v>
      </c>
      <c r="AI52" s="10">
        <f>27453/AH52</f>
        <v>752.5493421052632</v>
      </c>
      <c r="AJ52" s="11">
        <v>27389</v>
      </c>
      <c r="AK52" s="23">
        <f t="shared" si="165"/>
        <v>-0.32786885245903363</v>
      </c>
      <c r="AL52" s="23">
        <f t="shared" si="234"/>
        <v>40.92251686391728</v>
      </c>
      <c r="AM52" s="23">
        <f t="shared" si="166"/>
        <v>40.67282999486389</v>
      </c>
      <c r="AN52" s="8"/>
      <c r="AO52" s="22">
        <v>38.11</v>
      </c>
      <c r="AP52" s="10">
        <f>28604/AO52</f>
        <v>750.5641563893992</v>
      </c>
      <c r="AQ52" s="11">
        <v>28544</v>
      </c>
      <c r="AR52" s="23">
        <f t="shared" si="167"/>
        <v>4.468201754385973</v>
      </c>
      <c r="AS52" s="23">
        <f t="shared" si="235"/>
        <v>-0.2637947580035842</v>
      </c>
      <c r="AT52" s="23">
        <f t="shared" si="168"/>
        <v>4.21702143196174</v>
      </c>
      <c r="AU52" s="8"/>
      <c r="AV52" s="22">
        <v>45.98</v>
      </c>
      <c r="AW52" s="10">
        <f>34142/AV52</f>
        <v>742.5402348847325</v>
      </c>
      <c r="AX52" s="11">
        <v>34112</v>
      </c>
      <c r="AY52" s="23">
        <f t="shared" si="169"/>
        <v>20.650747835213863</v>
      </c>
      <c r="AZ52" s="23">
        <f t="shared" si="236"/>
        <v>-1.0690520505623198</v>
      </c>
      <c r="BA52" s="23">
        <f t="shared" si="170"/>
        <v>19.506726457399097</v>
      </c>
      <c r="BB52" s="8"/>
      <c r="BC52" s="22">
        <v>65.48</v>
      </c>
      <c r="BD52" s="10">
        <f>BE52/BC52</f>
        <v>777.9780085522297</v>
      </c>
      <c r="BE52" s="11">
        <v>50942</v>
      </c>
      <c r="BF52" s="23">
        <f t="shared" si="171"/>
        <v>42.40974336668117</v>
      </c>
      <c r="BG52" s="23">
        <f t="shared" si="237"/>
        <v>4.772505515879317</v>
      </c>
      <c r="BH52" s="23">
        <f t="shared" si="172"/>
        <v>49.337476547842414</v>
      </c>
      <c r="BI52" s="8"/>
      <c r="BJ52" s="22">
        <v>71.48</v>
      </c>
      <c r="BK52" s="10">
        <f>55569/BJ52</f>
        <v>777.406267487409</v>
      </c>
      <c r="BL52" s="11">
        <v>55119</v>
      </c>
      <c r="BM52" s="23">
        <f t="shared" si="218"/>
        <v>9.163103237629798</v>
      </c>
      <c r="BN52" s="23">
        <f t="shared" si="238"/>
        <v>-0.07349064607683431</v>
      </c>
      <c r="BO52" s="23">
        <f t="shared" si="173"/>
        <v>8.19952102390954</v>
      </c>
      <c r="BP52" s="8"/>
      <c r="BQ52" s="22">
        <v>72.5</v>
      </c>
      <c r="BR52" s="10">
        <f>56460/BQ52</f>
        <v>778.7586206896551</v>
      </c>
      <c r="BS52" s="11">
        <v>56010</v>
      </c>
      <c r="BT52" s="23">
        <f t="shared" si="219"/>
        <v>1.426972579742582</v>
      </c>
      <c r="BU52" s="23">
        <f t="shared" si="239"/>
        <v>0.17395707480169165</v>
      </c>
      <c r="BV52" s="23">
        <f t="shared" si="174"/>
        <v>1.6165024764600275</v>
      </c>
      <c r="BW52" s="8"/>
      <c r="BX52" s="22">
        <v>66.62</v>
      </c>
      <c r="BY52" s="10">
        <v>773.9</v>
      </c>
      <c r="BZ52" s="11">
        <v>51095</v>
      </c>
      <c r="CA52" s="23">
        <f t="shared" si="175"/>
        <v>-8.110344827586204</v>
      </c>
      <c r="CB52" s="23">
        <f t="shared" si="240"/>
        <v>-0.623893021608211</v>
      </c>
      <c r="CC52" s="23">
        <f t="shared" si="176"/>
        <v>-8.775218710944472</v>
      </c>
      <c r="CD52" s="8"/>
      <c r="CE52" s="22">
        <v>67</v>
      </c>
      <c r="CF52" s="10">
        <f>49865/CE52</f>
        <v>744.2537313432836</v>
      </c>
      <c r="CG52" s="11">
        <v>49415</v>
      </c>
      <c r="CH52" s="23">
        <f t="shared" si="177"/>
        <v>0.5703992794956463</v>
      </c>
      <c r="CI52" s="23">
        <f t="shared" si="241"/>
        <v>-3.8307621988262497</v>
      </c>
      <c r="CJ52" s="23">
        <f t="shared" si="178"/>
        <v>-3.287992954300819</v>
      </c>
      <c r="CK52" s="8"/>
      <c r="CL52" s="22">
        <v>72.1</v>
      </c>
      <c r="CM52" s="10">
        <v>760</v>
      </c>
      <c r="CN52" s="11">
        <v>54136</v>
      </c>
      <c r="CO52" s="23">
        <f t="shared" si="179"/>
        <v>7.611940298507449</v>
      </c>
      <c r="CP52" s="23">
        <f t="shared" si="242"/>
        <v>2.1157124235435703</v>
      </c>
      <c r="CQ52" s="23">
        <f t="shared" si="180"/>
        <v>9.553779216836986</v>
      </c>
      <c r="CR52" s="8"/>
      <c r="CS52" s="22">
        <v>73.25</v>
      </c>
      <c r="CT52" s="10">
        <f>56099/CS52</f>
        <v>765.8566552901024</v>
      </c>
      <c r="CU52" s="11">
        <v>55649</v>
      </c>
      <c r="CV52" s="23">
        <f t="shared" si="181"/>
        <v>1.5950069348127727</v>
      </c>
      <c r="CW52" s="23">
        <f t="shared" si="243"/>
        <v>0.7706125381713633</v>
      </c>
      <c r="CX52" s="23">
        <f t="shared" si="182"/>
        <v>2.7948130633958925</v>
      </c>
      <c r="CY52" s="8"/>
      <c r="CZ52" s="22">
        <v>71.7</v>
      </c>
      <c r="DA52" s="10">
        <f>60654/71.7</f>
        <v>845.9414225941422</v>
      </c>
      <c r="DB52" s="11">
        <v>60294</v>
      </c>
      <c r="DC52" s="23">
        <f t="shared" si="183"/>
        <v>-2.116040955631405</v>
      </c>
      <c r="DD52" s="23">
        <f t="shared" si="244"/>
        <v>10.456887297493566</v>
      </c>
      <c r="DE52" s="23">
        <f t="shared" si="184"/>
        <v>8.346960412586029</v>
      </c>
      <c r="DF52" s="8"/>
      <c r="DG52" s="22">
        <v>77.65</v>
      </c>
      <c r="DH52" s="10">
        <f>64701/DG52</f>
        <v>833.2388924661944</v>
      </c>
      <c r="DI52" s="11">
        <v>64341</v>
      </c>
      <c r="DJ52" s="23">
        <f t="shared" si="185"/>
        <v>8.298465829846592</v>
      </c>
      <c r="DK52" s="23">
        <f t="shared" si="245"/>
        <v>-1.501585072994132</v>
      </c>
      <c r="DL52" s="23">
        <f t="shared" si="186"/>
        <v>6.71211065777689</v>
      </c>
      <c r="DM52" s="8"/>
      <c r="DN52" s="22">
        <v>83.7</v>
      </c>
      <c r="DO52" s="10">
        <f>70654/DN52</f>
        <v>844.1338112305854</v>
      </c>
      <c r="DP52" s="11">
        <v>70234</v>
      </c>
      <c r="DQ52" s="23">
        <f t="shared" si="187"/>
        <v>7.791371538956852</v>
      </c>
      <c r="DR52" s="23">
        <f t="shared" si="246"/>
        <v>1.307538433803117</v>
      </c>
      <c r="DS52" s="23">
        <f t="shared" si="188"/>
        <v>9.159012138449825</v>
      </c>
      <c r="DT52" s="8"/>
      <c r="DU52" s="22">
        <v>80.53</v>
      </c>
      <c r="DV52" s="10">
        <f>69817/DU52</f>
        <v>866.9688314913697</v>
      </c>
      <c r="DW52" s="11">
        <v>69337</v>
      </c>
      <c r="DX52" s="23">
        <f t="shared" si="189"/>
        <v>-3.7873357228195914</v>
      </c>
      <c r="DY52" s="23">
        <f t="shared" si="247"/>
        <v>2.7051422365720867</v>
      </c>
      <c r="DZ52" s="23">
        <f t="shared" si="190"/>
        <v>-1.2771592106387288</v>
      </c>
      <c r="EA52" s="8"/>
      <c r="EB52" s="22">
        <v>80.93</v>
      </c>
      <c r="EC52" s="10">
        <f>78620/EB52</f>
        <v>971.4568145310761</v>
      </c>
      <c r="ED52" s="11">
        <v>78140</v>
      </c>
      <c r="EE52" s="23">
        <f t="shared" si="191"/>
        <v>0.4967093008816619</v>
      </c>
      <c r="EF52" s="23">
        <f t="shared" si="248"/>
        <v>12.052103748639382</v>
      </c>
      <c r="EG52" s="23">
        <f t="shared" si="192"/>
        <v>12.695963194254148</v>
      </c>
      <c r="EH52" s="8"/>
      <c r="EI52" s="22">
        <v>81.15</v>
      </c>
      <c r="EJ52" s="10">
        <f>74090/EI52</f>
        <v>913.0006161429451</v>
      </c>
      <c r="EK52" s="11">
        <v>73610</v>
      </c>
      <c r="EL52" s="23">
        <f t="shared" si="193"/>
        <v>0.2718398616087967</v>
      </c>
      <c r="EM52" s="23">
        <f t="shared" si="249"/>
        <v>-6.017374886226719</v>
      </c>
      <c r="EN52" s="23">
        <f t="shared" si="194"/>
        <v>-5.797286920911191</v>
      </c>
      <c r="EO52" s="8"/>
      <c r="EP52" s="22">
        <v>82.75</v>
      </c>
      <c r="EQ52" s="10">
        <f>57510/EP52</f>
        <v>694.9848942598187</v>
      </c>
      <c r="ER52" s="11">
        <v>57030</v>
      </c>
      <c r="ES52" s="23">
        <f t="shared" si="195"/>
        <v>1.9716574245224763</v>
      </c>
      <c r="ET52" s="23">
        <f t="shared" si="250"/>
        <v>-23.879033379424627</v>
      </c>
      <c r="EU52" s="23">
        <f t="shared" si="196"/>
        <v>-22.524113571525604</v>
      </c>
      <c r="EV52" s="8"/>
      <c r="EW52" s="22">
        <v>78.63</v>
      </c>
      <c r="EX52" s="10">
        <f t="shared" si="265"/>
        <v>697.6217728602315</v>
      </c>
      <c r="EY52" s="11">
        <v>54854</v>
      </c>
      <c r="EZ52" s="11">
        <v>54374</v>
      </c>
      <c r="FA52" s="23">
        <f t="shared" si="198"/>
        <v>-4.978851963746223</v>
      </c>
      <c r="FB52" s="23">
        <f t="shared" si="251"/>
        <v>0.3794152394090844</v>
      </c>
      <c r="FC52" s="23">
        <f t="shared" si="199"/>
        <v>-4.657197965982817</v>
      </c>
      <c r="FD52" s="8"/>
      <c r="FE52" s="22">
        <v>75.65</v>
      </c>
      <c r="FF52" s="10">
        <f t="shared" si="229"/>
        <v>695.3866490416391</v>
      </c>
      <c r="FG52" s="11">
        <v>52606</v>
      </c>
      <c r="FH52" s="11">
        <v>52246</v>
      </c>
      <c r="FI52" s="23">
        <f t="shared" si="266"/>
        <v>-3.789902073000107</v>
      </c>
      <c r="FJ52" s="23">
        <f t="shared" si="252"/>
        <v>-0.3203919237538315</v>
      </c>
      <c r="FK52" s="23">
        <f t="shared" si="252"/>
        <v>-4.098151456593868</v>
      </c>
      <c r="FL52" s="23">
        <f t="shared" si="267"/>
        <v>-3.913635193290915</v>
      </c>
      <c r="FM52" s="23"/>
      <c r="FN52" s="22">
        <v>74.23</v>
      </c>
      <c r="FO52" s="10">
        <f t="shared" si="220"/>
        <v>690.0309847770443</v>
      </c>
      <c r="FP52" s="11">
        <v>51221</v>
      </c>
      <c r="FQ52" s="11">
        <v>50801</v>
      </c>
      <c r="FR52" s="23">
        <f t="shared" si="253"/>
        <v>-1.8770654329147476</v>
      </c>
      <c r="FS52" s="23">
        <f t="shared" si="253"/>
        <v>-0.7701707060346621</v>
      </c>
      <c r="FT52" s="23">
        <f t="shared" si="53"/>
        <v>-2.632779530851991</v>
      </c>
      <c r="FU52" s="23">
        <f t="shared" si="53"/>
        <v>-2.765761972208395</v>
      </c>
      <c r="FV52" s="23"/>
      <c r="FW52" s="22">
        <v>71.33</v>
      </c>
      <c r="FX52" s="10">
        <f t="shared" si="254"/>
        <v>685.6301696340951</v>
      </c>
      <c r="FY52" s="20">
        <v>48906</v>
      </c>
      <c r="FZ52" s="20">
        <v>48486</v>
      </c>
      <c r="GA52" s="23">
        <f t="shared" si="255"/>
        <v>-3.906776236023177</v>
      </c>
      <c r="GB52" s="23">
        <f t="shared" si="255"/>
        <v>-0.6377706566859729</v>
      </c>
      <c r="GC52" s="23">
        <f t="shared" si="255"/>
        <v>-4.519630620253409</v>
      </c>
      <c r="GD52" s="23">
        <f t="shared" si="255"/>
        <v>-4.55699690950965</v>
      </c>
      <c r="GE52" s="23"/>
      <c r="GF52" s="22">
        <v>69.38</v>
      </c>
      <c r="GG52" s="10">
        <f t="shared" si="256"/>
        <v>660.5073508215625</v>
      </c>
      <c r="GH52" s="20">
        <v>45826</v>
      </c>
      <c r="GI52" s="20">
        <v>45406</v>
      </c>
      <c r="GJ52" s="23">
        <f t="shared" si="257"/>
        <v>-2.7337726061965526</v>
      </c>
      <c r="GK52" s="23">
        <f t="shared" si="257"/>
        <v>-3.66419389420102</v>
      </c>
      <c r="GL52" s="23">
        <f t="shared" si="57"/>
        <v>-6.297795771479983</v>
      </c>
      <c r="GM52" s="23">
        <f t="shared" si="57"/>
        <v>-6.352349131708124</v>
      </c>
      <c r="GN52" s="23"/>
      <c r="GO52" s="22">
        <v>51.33</v>
      </c>
      <c r="GP52" s="10">
        <f t="shared" si="258"/>
        <v>417.02707968049873</v>
      </c>
      <c r="GQ52" s="20">
        <v>21406</v>
      </c>
      <c r="GR52" s="20">
        <v>20986</v>
      </c>
      <c r="GS52" s="23">
        <f t="shared" si="209"/>
        <v>-26.01614298068607</v>
      </c>
      <c r="GT52" s="23">
        <f t="shared" si="209"/>
        <v>-36.86261338927029</v>
      </c>
      <c r="GU52" s="23">
        <f t="shared" si="59"/>
        <v>-53.28852616418627</v>
      </c>
      <c r="GV52" s="23">
        <f t="shared" si="60"/>
        <v>-53.781438576399594</v>
      </c>
      <c r="GW52" s="23"/>
      <c r="GX52" s="22">
        <v>24.55</v>
      </c>
      <c r="GY52" s="10">
        <f t="shared" si="259"/>
        <v>357.39307535641547</v>
      </c>
      <c r="GZ52" s="20">
        <v>8774</v>
      </c>
      <c r="HA52" s="20">
        <v>8294</v>
      </c>
      <c r="HB52" s="23">
        <f t="shared" si="210"/>
        <v>-52.17221897525813</v>
      </c>
      <c r="HC52" s="23">
        <f t="shared" si="260"/>
        <v>-14.29979184319906</v>
      </c>
      <c r="HD52" s="23">
        <f t="shared" si="62"/>
        <v>-59.01149210501728</v>
      </c>
      <c r="HE52" s="23">
        <f t="shared" si="63"/>
        <v>-60.478414180882496</v>
      </c>
      <c r="HF52" s="23"/>
      <c r="HG52" s="22">
        <v>25.51</v>
      </c>
      <c r="HH52" s="10">
        <f t="shared" si="261"/>
        <v>363.93571148569185</v>
      </c>
      <c r="HI52" s="20">
        <v>9284</v>
      </c>
      <c r="HJ52" s="20">
        <v>8744</v>
      </c>
      <c r="HK52" s="23">
        <f t="shared" si="211"/>
        <v>3.910386965376773</v>
      </c>
      <c r="HL52" s="23">
        <f t="shared" si="262"/>
        <v>1.8306555387934367</v>
      </c>
      <c r="HM52" s="23">
        <f t="shared" si="105"/>
        <v>5.812628219740148</v>
      </c>
      <c r="HN52" s="23">
        <f t="shared" si="106"/>
        <v>5.425608873884741</v>
      </c>
      <c r="HO52" s="23"/>
      <c r="HP52" s="22">
        <v>32.15</v>
      </c>
      <c r="HQ52" s="10">
        <f t="shared" si="263"/>
        <v>325.34992223950235</v>
      </c>
      <c r="HR52" s="20">
        <v>10460</v>
      </c>
      <c r="HS52" s="20">
        <v>9920</v>
      </c>
      <c r="HT52" s="23">
        <f t="shared" si="212"/>
        <v>26.02900823206585</v>
      </c>
      <c r="HU52" s="23">
        <f t="shared" si="264"/>
        <v>-10.602364106745952</v>
      </c>
      <c r="HV52" s="23">
        <f t="shared" si="64"/>
        <v>12.666953899181394</v>
      </c>
      <c r="HW52" s="23">
        <f t="shared" si="65"/>
        <v>13.449222323879226</v>
      </c>
      <c r="HX52" s="23"/>
      <c r="HY52" s="22"/>
      <c r="HZ52" s="10" t="e">
        <f>IA52/HY52</f>
        <v>#DIV/0!</v>
      </c>
      <c r="IA52" s="20"/>
      <c r="IB52" s="20"/>
      <c r="IC52" s="23">
        <f t="shared" si="268"/>
        <v>-100</v>
      </c>
      <c r="ID52" s="23" t="e">
        <f>HZ52*100/HQ52-100</f>
        <v>#DIV/0!</v>
      </c>
      <c r="IE52" s="23">
        <f t="shared" si="269"/>
        <v>-100</v>
      </c>
      <c r="IF52" s="23">
        <f t="shared" si="270"/>
        <v>-100</v>
      </c>
      <c r="IG52" s="23"/>
      <c r="IH52" s="1" t="s">
        <v>48</v>
      </c>
      <c r="II52" s="29">
        <f t="shared" si="223"/>
        <v>63.451</v>
      </c>
      <c r="IJ52" s="30">
        <f t="shared" si="224"/>
        <v>617.5518304059943</v>
      </c>
      <c r="IK52" s="29">
        <f t="shared" si="225"/>
        <v>41997.7</v>
      </c>
      <c r="IL52" s="25">
        <f t="shared" si="226"/>
        <v>-49.33097981119289</v>
      </c>
      <c r="IM52" s="25">
        <f t="shared" si="227"/>
        <v>-47.31617554665671</v>
      </c>
      <c r="IN52" s="25">
        <f t="shared" si="228"/>
        <v>-76.37965888608186</v>
      </c>
      <c r="IP52" s="30">
        <f>HP52*100/Italia!BR52</f>
        <v>5.481110201854883</v>
      </c>
      <c r="IQ52" s="30">
        <f>HR52*100/Italia!BT52</f>
        <v>2.9312610868084845</v>
      </c>
      <c r="IR52" s="30">
        <f>HS52*100/Italia!BU52</f>
        <v>2.8561886005827546</v>
      </c>
    </row>
    <row r="53" spans="1:252" ht="12">
      <c r="A53" s="1" t="s">
        <v>49</v>
      </c>
      <c r="B53" s="19">
        <f>B52+B51</f>
        <v>81.5</v>
      </c>
      <c r="C53" s="6" t="s">
        <v>1</v>
      </c>
      <c r="D53" s="9">
        <f>D52+D51</f>
        <v>26105</v>
      </c>
      <c r="E53" s="9"/>
      <c r="F53" s="19">
        <f>F51+F52</f>
        <v>80.05</v>
      </c>
      <c r="G53" s="6" t="s">
        <v>1</v>
      </c>
      <c r="H53" s="9">
        <f>H52+H51</f>
        <v>26820</v>
      </c>
      <c r="I53" s="23">
        <f t="shared" si="214"/>
        <v>-1.7791411042944816</v>
      </c>
      <c r="J53" s="24" t="s">
        <v>1</v>
      </c>
      <c r="K53" s="23">
        <f t="shared" si="215"/>
        <v>2.7389389005937517</v>
      </c>
      <c r="L53" s="8"/>
      <c r="M53" s="19">
        <f>M51+M52</f>
        <v>69.4</v>
      </c>
      <c r="N53" s="6" t="s">
        <v>1</v>
      </c>
      <c r="O53" s="9">
        <f>O52+O51</f>
        <v>23485</v>
      </c>
      <c r="P53" s="23">
        <f t="shared" si="216"/>
        <v>-13.30418488444721</v>
      </c>
      <c r="Q53" s="24" t="s">
        <v>1</v>
      </c>
      <c r="R53" s="23">
        <f t="shared" si="217"/>
        <v>-12.434750186428033</v>
      </c>
      <c r="S53" s="8"/>
      <c r="T53" s="19">
        <f>T51+T52</f>
        <v>81.1</v>
      </c>
      <c r="U53" s="6" t="s">
        <v>1</v>
      </c>
      <c r="V53" s="9">
        <f>V52+V51</f>
        <v>28255</v>
      </c>
      <c r="W53" s="23">
        <f t="shared" si="161"/>
        <v>16.858789625360203</v>
      </c>
      <c r="X53" s="24" t="s">
        <v>1</v>
      </c>
      <c r="Y53" s="23">
        <f t="shared" si="162"/>
        <v>20.310836704279325</v>
      </c>
      <c r="Z53" s="8"/>
      <c r="AA53" s="19">
        <f>AA51+AA52</f>
        <v>89.6</v>
      </c>
      <c r="AB53" s="6" t="s">
        <v>1</v>
      </c>
      <c r="AC53" s="9">
        <f>AC52+AC51</f>
        <v>34170</v>
      </c>
      <c r="AD53" s="23">
        <f t="shared" si="163"/>
        <v>10.48088779284835</v>
      </c>
      <c r="AE53" s="24" t="s">
        <v>1</v>
      </c>
      <c r="AF53" s="23">
        <f t="shared" si="164"/>
        <v>20.93434790302601</v>
      </c>
      <c r="AG53" s="8"/>
      <c r="AH53" s="19">
        <f>AH51+AH52</f>
        <v>96.47999999999999</v>
      </c>
      <c r="AI53" s="6" t="s">
        <v>1</v>
      </c>
      <c r="AJ53" s="9">
        <f>AJ52+AJ51</f>
        <v>44689</v>
      </c>
      <c r="AK53" s="23">
        <f t="shared" si="165"/>
        <v>7.678571428571416</v>
      </c>
      <c r="AL53" s="24" t="s">
        <v>1</v>
      </c>
      <c r="AM53" s="23">
        <f t="shared" si="166"/>
        <v>30.784313725490193</v>
      </c>
      <c r="AN53" s="8"/>
      <c r="AO53" s="19">
        <f>AO51+AO52</f>
        <v>105.11</v>
      </c>
      <c r="AP53" s="6" t="s">
        <v>1</v>
      </c>
      <c r="AQ53" s="9">
        <f>AQ52+AQ51</f>
        <v>48044</v>
      </c>
      <c r="AR53" s="23">
        <f t="shared" si="167"/>
        <v>8.944859038142638</v>
      </c>
      <c r="AS53" s="24" t="s">
        <v>1</v>
      </c>
      <c r="AT53" s="23">
        <f t="shared" si="168"/>
        <v>7.507440309695895</v>
      </c>
      <c r="AU53" s="8"/>
      <c r="AV53" s="19">
        <f>AV51+AV52</f>
        <v>102.97999999999999</v>
      </c>
      <c r="AW53" s="6" t="s">
        <v>1</v>
      </c>
      <c r="AX53" s="9">
        <f>AX52+AX51</f>
        <v>47322</v>
      </c>
      <c r="AY53" s="23">
        <f t="shared" si="169"/>
        <v>-2.026448482542122</v>
      </c>
      <c r="AZ53" s="24" t="s">
        <v>1</v>
      </c>
      <c r="BA53" s="23">
        <f t="shared" si="170"/>
        <v>-1.5027891099825155</v>
      </c>
      <c r="BB53" s="8"/>
      <c r="BC53" s="19">
        <f>BC51+BC52</f>
        <v>125.48</v>
      </c>
      <c r="BD53" s="6" t="s">
        <v>1</v>
      </c>
      <c r="BE53" s="9">
        <f>BE52+BE51</f>
        <v>66926</v>
      </c>
      <c r="BF53" s="23">
        <f t="shared" si="171"/>
        <v>21.84890269955332</v>
      </c>
      <c r="BG53" s="24" t="s">
        <v>1</v>
      </c>
      <c r="BH53" s="23">
        <f t="shared" si="172"/>
        <v>41.42682050631842</v>
      </c>
      <c r="BI53" s="8"/>
      <c r="BJ53" s="19">
        <f>BJ51+BJ52</f>
        <v>118.48</v>
      </c>
      <c r="BK53" s="6" t="s">
        <v>1</v>
      </c>
      <c r="BL53" s="9">
        <f>BL52+BL51</f>
        <v>69180</v>
      </c>
      <c r="BM53" s="23">
        <f t="shared" si="218"/>
        <v>-5.578578259483592</v>
      </c>
      <c r="BN53" s="24" t="s">
        <v>1</v>
      </c>
      <c r="BO53" s="23">
        <f t="shared" si="173"/>
        <v>3.3678988733825435</v>
      </c>
      <c r="BP53" s="8"/>
      <c r="BQ53" s="19">
        <f>BQ51+BQ52</f>
        <v>120.5</v>
      </c>
      <c r="BR53" s="6" t="s">
        <v>1</v>
      </c>
      <c r="BS53" s="9">
        <f>BS52+BS51</f>
        <v>71703</v>
      </c>
      <c r="BT53" s="23">
        <f t="shared" si="219"/>
        <v>1.704929101958129</v>
      </c>
      <c r="BU53" s="24" t="s">
        <v>1</v>
      </c>
      <c r="BV53" s="23">
        <f t="shared" si="174"/>
        <v>3.6470078057242006</v>
      </c>
      <c r="BW53" s="8"/>
      <c r="BX53" s="19">
        <f>BX51+BX52</f>
        <v>124.62</v>
      </c>
      <c r="BY53" s="6" t="s">
        <v>1</v>
      </c>
      <c r="BZ53" s="9">
        <f>BZ52+BZ51</f>
        <v>69595</v>
      </c>
      <c r="CA53" s="23">
        <f t="shared" si="175"/>
        <v>3.4190871369294626</v>
      </c>
      <c r="CB53" s="24" t="s">
        <v>1</v>
      </c>
      <c r="CC53" s="23">
        <f t="shared" si="176"/>
        <v>-2.939904885430181</v>
      </c>
      <c r="CD53" s="8"/>
      <c r="CE53" s="19">
        <f>CE51+CE52</f>
        <v>126</v>
      </c>
      <c r="CF53" s="6" t="s">
        <v>1</v>
      </c>
      <c r="CG53" s="9">
        <f>CG52+CG51</f>
        <v>68865</v>
      </c>
      <c r="CH53" s="23">
        <f t="shared" si="177"/>
        <v>1.1073663938372675</v>
      </c>
      <c r="CI53" s="24" t="s">
        <v>1</v>
      </c>
      <c r="CJ53" s="23">
        <f t="shared" si="178"/>
        <v>-1.0489259285868258</v>
      </c>
      <c r="CK53" s="8"/>
      <c r="CL53" s="19">
        <f>CL51+CL52</f>
        <v>123.1</v>
      </c>
      <c r="CM53" s="6" t="s">
        <v>1</v>
      </c>
      <c r="CN53" s="9">
        <f>CN52+CN51</f>
        <v>71506</v>
      </c>
      <c r="CO53" s="23">
        <f t="shared" si="179"/>
        <v>-2.301587301587304</v>
      </c>
      <c r="CP53" s="24" t="s">
        <v>1</v>
      </c>
      <c r="CQ53" s="23">
        <f t="shared" si="180"/>
        <v>3.835039570173521</v>
      </c>
      <c r="CR53" s="8"/>
      <c r="CS53" s="19">
        <f>CS51+CS52</f>
        <v>125.25</v>
      </c>
      <c r="CT53" s="6" t="s">
        <v>1</v>
      </c>
      <c r="CU53" s="9">
        <f>CU52+CU51</f>
        <v>76569</v>
      </c>
      <c r="CV53" s="23">
        <f t="shared" si="181"/>
        <v>1.7465475223395686</v>
      </c>
      <c r="CW53" s="24" t="s">
        <v>1</v>
      </c>
      <c r="CX53" s="23">
        <f t="shared" si="182"/>
        <v>7.0805247112130445</v>
      </c>
      <c r="CY53" s="8"/>
      <c r="CZ53" s="19">
        <f>CZ51+CZ52</f>
        <v>123.7</v>
      </c>
      <c r="DA53" s="6" t="s">
        <v>1</v>
      </c>
      <c r="DB53" s="9">
        <f>DB52+DB51</f>
        <v>80994</v>
      </c>
      <c r="DC53" s="23">
        <f t="shared" si="183"/>
        <v>-1.2375249500997967</v>
      </c>
      <c r="DD53" s="24" t="s">
        <v>1</v>
      </c>
      <c r="DE53" s="23">
        <f t="shared" si="184"/>
        <v>5.779101202836657</v>
      </c>
      <c r="DF53" s="8"/>
      <c r="DG53" s="19">
        <f>DG51+DG52</f>
        <v>133.65</v>
      </c>
      <c r="DH53" s="6" t="s">
        <v>1</v>
      </c>
      <c r="DI53" s="9">
        <f>DI52+DI51</f>
        <v>86311</v>
      </c>
      <c r="DJ53" s="23">
        <f t="shared" si="185"/>
        <v>8.043654001616815</v>
      </c>
      <c r="DK53" s="24" t="s">
        <v>1</v>
      </c>
      <c r="DL53" s="23">
        <f t="shared" si="186"/>
        <v>6.564683803738546</v>
      </c>
      <c r="DM53" s="8"/>
      <c r="DN53" s="19">
        <f>DN51+DN52</f>
        <v>139.7</v>
      </c>
      <c r="DO53" s="6" t="s">
        <v>1</v>
      </c>
      <c r="DP53" s="9">
        <f>DP52+DP51</f>
        <v>92784</v>
      </c>
      <c r="DQ53" s="23">
        <f t="shared" si="187"/>
        <v>4.526748971193399</v>
      </c>
      <c r="DR53" s="24" t="s">
        <v>1</v>
      </c>
      <c r="DS53" s="23">
        <f t="shared" si="188"/>
        <v>7.499623454716087</v>
      </c>
      <c r="DT53" s="8"/>
      <c r="DU53" s="19">
        <f>DU51+DU52</f>
        <v>143.53</v>
      </c>
      <c r="DV53" s="6" t="s">
        <v>1</v>
      </c>
      <c r="DW53" s="9">
        <f>DW52+DW51</f>
        <v>96487</v>
      </c>
      <c r="DX53" s="23">
        <f t="shared" si="189"/>
        <v>2.741589119541885</v>
      </c>
      <c r="DY53" s="24" t="s">
        <v>1</v>
      </c>
      <c r="DZ53" s="23">
        <f t="shared" si="190"/>
        <v>3.9909898258320453</v>
      </c>
      <c r="EA53" s="8"/>
      <c r="EB53" s="19">
        <f>EB51+EB52</f>
        <v>144.93</v>
      </c>
      <c r="EC53" s="6">
        <f>AVERAGE(EC54,DV54,DO54,DH54,DA54)</f>
        <v>393.9167654986523</v>
      </c>
      <c r="ED53" s="9">
        <f>ED52+ED51</f>
        <v>104250</v>
      </c>
      <c r="EE53" s="23">
        <f t="shared" si="191"/>
        <v>0.975405838500663</v>
      </c>
      <c r="EF53" s="24" t="s">
        <v>1</v>
      </c>
      <c r="EG53" s="23">
        <f t="shared" si="192"/>
        <v>8.045643454558643</v>
      </c>
      <c r="EH53" s="8"/>
      <c r="EI53" s="19">
        <f>EI51+EI52</f>
        <v>150.15</v>
      </c>
      <c r="EJ53" s="6" t="s">
        <v>1</v>
      </c>
      <c r="EK53" s="9">
        <f>EK52+EK51</f>
        <v>102550</v>
      </c>
      <c r="EL53" s="23">
        <f t="shared" si="193"/>
        <v>3.601738770440903</v>
      </c>
      <c r="EM53" s="24" t="s">
        <v>1</v>
      </c>
      <c r="EN53" s="23">
        <f t="shared" si="194"/>
        <v>-1.630695443645081</v>
      </c>
      <c r="EO53" s="8"/>
      <c r="EP53" s="19">
        <f>EP51+EP52</f>
        <v>139.75</v>
      </c>
      <c r="EQ53" s="6" t="s">
        <v>1</v>
      </c>
      <c r="ER53" s="9">
        <f>ER52+ER51</f>
        <v>78630</v>
      </c>
      <c r="ES53" s="23">
        <f t="shared" si="195"/>
        <v>-6.926406926406926</v>
      </c>
      <c r="ET53" s="24" t="s">
        <v>1</v>
      </c>
      <c r="EU53" s="23">
        <f t="shared" si="196"/>
        <v>-23.325207215992194</v>
      </c>
      <c r="EV53" s="8"/>
      <c r="EW53" s="19">
        <f>EW51+EW52</f>
        <v>133.63</v>
      </c>
      <c r="EX53" s="10">
        <f t="shared" si="265"/>
        <v>575.7240140686972</v>
      </c>
      <c r="EY53" s="9">
        <f>EY52+EY51</f>
        <v>76934</v>
      </c>
      <c r="EZ53" s="9">
        <f>EZ52+EZ51</f>
        <v>75254</v>
      </c>
      <c r="FA53" s="23">
        <f t="shared" si="198"/>
        <v>-4.379248658318431</v>
      </c>
      <c r="FB53" s="24" t="s">
        <v>1</v>
      </c>
      <c r="FC53" s="23">
        <f t="shared" si="199"/>
        <v>-4.293526643774641</v>
      </c>
      <c r="FD53" s="8"/>
      <c r="FE53" s="19">
        <f>FE51+FE52</f>
        <v>125.65</v>
      </c>
      <c r="FF53" s="10">
        <f t="shared" si="229"/>
        <v>560.6526064464783</v>
      </c>
      <c r="FG53" s="9">
        <f>FG52+FG51</f>
        <v>70446</v>
      </c>
      <c r="FH53" s="9">
        <f>FH52+FH51</f>
        <v>69486</v>
      </c>
      <c r="FI53" s="23">
        <f t="shared" si="266"/>
        <v>-5.971712938711363</v>
      </c>
      <c r="FJ53" s="23">
        <f t="shared" si="252"/>
        <v>-2.6178181305497077</v>
      </c>
      <c r="FK53" s="23">
        <f t="shared" si="252"/>
        <v>-8.433202485247094</v>
      </c>
      <c r="FL53" s="23">
        <f t="shared" si="267"/>
        <v>-7.664708852685578</v>
      </c>
      <c r="FM53" s="23"/>
      <c r="FN53" s="19">
        <f>FN51+FN52</f>
        <v>125.23</v>
      </c>
      <c r="FO53" s="6" t="s">
        <v>1</v>
      </c>
      <c r="FP53" s="9">
        <f>FP52+FP51</f>
        <v>70721</v>
      </c>
      <c r="FQ53" s="9">
        <f>FQ52+FQ51</f>
        <v>69701</v>
      </c>
      <c r="FR53" s="23">
        <f t="shared" si="253"/>
        <v>-0.3342618384401135</v>
      </c>
      <c r="FS53" s="24" t="s">
        <v>1</v>
      </c>
      <c r="FT53" s="23">
        <f t="shared" si="53"/>
        <v>0.3903699287397444</v>
      </c>
      <c r="FU53" s="23">
        <f t="shared" si="53"/>
        <v>0.3094148461560593</v>
      </c>
      <c r="FV53" s="23"/>
      <c r="FW53" s="19">
        <f>FW51+FW52</f>
        <v>121.33</v>
      </c>
      <c r="FX53" s="6" t="s">
        <v>1</v>
      </c>
      <c r="FY53" s="19">
        <f>FY51+FY52</f>
        <v>68826</v>
      </c>
      <c r="FZ53" s="19">
        <f>FZ51+FZ52</f>
        <v>68406</v>
      </c>
      <c r="GA53" s="24" t="s">
        <v>1</v>
      </c>
      <c r="GB53" s="24" t="s">
        <v>1</v>
      </c>
      <c r="GC53" s="24" t="s">
        <v>1</v>
      </c>
      <c r="GD53" s="24" t="s">
        <v>1</v>
      </c>
      <c r="GE53" s="23"/>
      <c r="GF53" s="19">
        <f>GF51+GF52</f>
        <v>103.38</v>
      </c>
      <c r="GG53" s="6" t="s">
        <v>1</v>
      </c>
      <c r="GH53" s="19">
        <f>GH51+GH52</f>
        <v>58306</v>
      </c>
      <c r="GI53" s="19">
        <f>GI51+GI52</f>
        <v>57886</v>
      </c>
      <c r="GJ53" s="23">
        <f t="shared" si="257"/>
        <v>-14.79436248248578</v>
      </c>
      <c r="GK53" s="24" t="s">
        <v>1</v>
      </c>
      <c r="GL53" s="23">
        <f t="shared" si="57"/>
        <v>-15.284921395984071</v>
      </c>
      <c r="GM53" s="23">
        <f t="shared" si="57"/>
        <v>-15.378767944332367</v>
      </c>
      <c r="GN53" s="23"/>
      <c r="GO53" s="19">
        <f>GO51+GO52</f>
        <v>77.33</v>
      </c>
      <c r="GP53" s="6" t="s">
        <v>1</v>
      </c>
      <c r="GQ53" s="19">
        <f>GQ51+GQ52</f>
        <v>32246</v>
      </c>
      <c r="GR53" s="19">
        <f>GR51+GR52</f>
        <v>31826</v>
      </c>
      <c r="GS53" s="23">
        <f t="shared" si="209"/>
        <v>-25.198297543045072</v>
      </c>
      <c r="GT53" s="24" t="s">
        <v>1</v>
      </c>
      <c r="GU53" s="23">
        <f t="shared" si="59"/>
        <v>-44.695228621411175</v>
      </c>
      <c r="GV53" s="23">
        <f t="shared" si="60"/>
        <v>-45.019521127733825</v>
      </c>
      <c r="GW53" s="23"/>
      <c r="GX53" s="19">
        <f>GX51+GX52</f>
        <v>46.55</v>
      </c>
      <c r="GY53" s="6" t="s">
        <v>1</v>
      </c>
      <c r="GZ53" s="19">
        <f>GZ51+GZ52</f>
        <v>17894</v>
      </c>
      <c r="HA53" s="19">
        <f>HA51+HA52</f>
        <v>17414</v>
      </c>
      <c r="HB53" s="23">
        <f t="shared" si="210"/>
        <v>-39.8034398034398</v>
      </c>
      <c r="HC53" s="24" t="s">
        <v>1</v>
      </c>
      <c r="HD53" s="23">
        <f t="shared" si="62"/>
        <v>-44.50784593437946</v>
      </c>
      <c r="HE53" s="23">
        <f t="shared" si="63"/>
        <v>-45.28373028341608</v>
      </c>
      <c r="HF53" s="23"/>
      <c r="HG53" s="19">
        <f>HG51+HG52</f>
        <v>45.510000000000005</v>
      </c>
      <c r="HH53" s="6" t="s">
        <v>1</v>
      </c>
      <c r="HI53" s="19">
        <f>HI51+HI52</f>
        <v>17884</v>
      </c>
      <c r="HJ53" s="19">
        <f>HJ51+HJ52</f>
        <v>17344</v>
      </c>
      <c r="HK53" s="23">
        <f t="shared" si="211"/>
        <v>-2.2341568206229567</v>
      </c>
      <c r="HL53" s="24" t="s">
        <v>1</v>
      </c>
      <c r="HM53" s="23">
        <f t="shared" si="105"/>
        <v>-0.055884654073992124</v>
      </c>
      <c r="HN53" s="23">
        <f t="shared" si="106"/>
        <v>-0.40197542207418735</v>
      </c>
      <c r="HO53" s="23"/>
      <c r="HP53" s="19">
        <f>HP51+HP52</f>
        <v>54.15</v>
      </c>
      <c r="HQ53" s="6" t="s">
        <v>1</v>
      </c>
      <c r="HR53" s="19">
        <f>HR51+HR52</f>
        <v>19660</v>
      </c>
      <c r="HS53" s="19">
        <f>HS51+HS52</f>
        <v>19120</v>
      </c>
      <c r="HT53" s="23">
        <f t="shared" si="212"/>
        <v>18.984838497033607</v>
      </c>
      <c r="HU53" s="24" t="s">
        <v>1</v>
      </c>
      <c r="HV53" s="23">
        <f t="shared" si="64"/>
        <v>9.93066428092149</v>
      </c>
      <c r="HW53" s="23">
        <f t="shared" si="65"/>
        <v>10.239852398523979</v>
      </c>
      <c r="HX53" s="23"/>
      <c r="HY53" s="19">
        <f>HY51+HY52</f>
        <v>0</v>
      </c>
      <c r="HZ53" s="6" t="s">
        <v>1</v>
      </c>
      <c r="IA53" s="19">
        <f>IA51+IA52</f>
        <v>0</v>
      </c>
      <c r="IB53" s="19">
        <f>IB51+IB52</f>
        <v>0</v>
      </c>
      <c r="IC53" s="23">
        <f t="shared" si="268"/>
        <v>-100</v>
      </c>
      <c r="ID53" s="24" t="s">
        <v>1</v>
      </c>
      <c r="IE53" s="23">
        <f t="shared" si="269"/>
        <v>-100</v>
      </c>
      <c r="IF53" s="23">
        <f t="shared" si="270"/>
        <v>-100</v>
      </c>
      <c r="IG53" s="23"/>
      <c r="IH53" s="1" t="s">
        <v>49</v>
      </c>
      <c r="II53" s="29">
        <f t="shared" si="223"/>
        <v>106.851</v>
      </c>
      <c r="IJ53" s="30">
        <f t="shared" si="224"/>
        <v>568.1883102575878</v>
      </c>
      <c r="IK53" s="29">
        <f t="shared" si="225"/>
        <v>58849.7</v>
      </c>
      <c r="IL53" s="25">
        <f t="shared" si="226"/>
        <v>-49.32195299997192</v>
      </c>
      <c r="IM53" s="25">
        <f t="shared" si="227"/>
        <v>-100</v>
      </c>
      <c r="IN53" s="25">
        <f t="shared" si="228"/>
        <v>-67.51045459874902</v>
      </c>
      <c r="IP53" s="30">
        <f>HP53*100/Italia!BR53</f>
        <v>2.871825876662636</v>
      </c>
      <c r="IQ53" s="30">
        <f>HR53*100/Italia!BT53</f>
        <v>3.406676809298876</v>
      </c>
      <c r="IR53" s="30">
        <f>HS53*100/Italia!BU53</f>
        <v>3.43893551276471</v>
      </c>
    </row>
    <row r="54" spans="1:252" ht="12">
      <c r="A54" s="1" t="s">
        <v>50</v>
      </c>
      <c r="B54" s="20">
        <v>3800</v>
      </c>
      <c r="C54" s="10">
        <v>312.2</v>
      </c>
      <c r="D54" s="11">
        <v>1186500</v>
      </c>
      <c r="E54" s="9"/>
      <c r="F54" s="20">
        <v>4300</v>
      </c>
      <c r="G54" s="10">
        <v>316.3</v>
      </c>
      <c r="H54" s="11">
        <v>1360000</v>
      </c>
      <c r="I54" s="23">
        <f t="shared" si="214"/>
        <v>13.15789473684211</v>
      </c>
      <c r="J54" s="23">
        <f>G54*100/C54-100</f>
        <v>1.3132607303010957</v>
      </c>
      <c r="K54" s="23">
        <f t="shared" si="215"/>
        <v>14.622840286557107</v>
      </c>
      <c r="L54" s="8"/>
      <c r="M54" s="20">
        <v>3573</v>
      </c>
      <c r="N54" s="10">
        <f>O54/M54</f>
        <v>330.75846627483907</v>
      </c>
      <c r="O54" s="11">
        <v>1181800</v>
      </c>
      <c r="P54" s="23">
        <f t="shared" si="216"/>
        <v>-16.906976744186053</v>
      </c>
      <c r="Q54" s="23">
        <f>N54*100/G54-100</f>
        <v>4.571124336022464</v>
      </c>
      <c r="R54" s="23">
        <f t="shared" si="217"/>
        <v>-13.102941176470594</v>
      </c>
      <c r="S54" s="8"/>
      <c r="T54" s="20">
        <v>3520</v>
      </c>
      <c r="U54" s="10">
        <v>322.1</v>
      </c>
      <c r="V54" s="11">
        <v>1078500</v>
      </c>
      <c r="W54" s="23">
        <f t="shared" si="161"/>
        <v>-1.4833473271760482</v>
      </c>
      <c r="X54" s="23">
        <f>U54*100/N54-100</f>
        <v>-2.617761042477568</v>
      </c>
      <c r="Y54" s="23">
        <f t="shared" si="162"/>
        <v>-8.740903706210858</v>
      </c>
      <c r="Z54" s="8"/>
      <c r="AA54" s="20">
        <v>3536</v>
      </c>
      <c r="AB54" s="10">
        <f>1303615/AA54</f>
        <v>368.6694004524887</v>
      </c>
      <c r="AC54" s="11">
        <v>1118600</v>
      </c>
      <c r="AD54" s="23">
        <f t="shared" si="163"/>
        <v>0.45454545454545325</v>
      </c>
      <c r="AE54" s="23">
        <f>AB54*100/U54-100</f>
        <v>14.458056644672055</v>
      </c>
      <c r="AF54" s="23">
        <f t="shared" si="164"/>
        <v>3.7181270282800227</v>
      </c>
      <c r="AG54" s="8"/>
      <c r="AH54" s="20">
        <v>3311</v>
      </c>
      <c r="AI54" s="10">
        <v>345.1</v>
      </c>
      <c r="AJ54" s="11">
        <v>1079900</v>
      </c>
      <c r="AK54" s="23">
        <f t="shared" si="165"/>
        <v>-6.3631221719457045</v>
      </c>
      <c r="AL54" s="23">
        <f>AI54*100/AB54-100</f>
        <v>-6.393099189561326</v>
      </c>
      <c r="AM54" s="23">
        <f t="shared" si="166"/>
        <v>-3.459681745038438</v>
      </c>
      <c r="AN54" s="8"/>
      <c r="AO54" s="20">
        <v>3424</v>
      </c>
      <c r="AP54" s="10">
        <v>369.3</v>
      </c>
      <c r="AQ54" s="11">
        <v>1165200</v>
      </c>
      <c r="AR54" s="23">
        <f t="shared" si="167"/>
        <v>3.4128662035638797</v>
      </c>
      <c r="AS54" s="23">
        <f>AP54*100/AI54-100</f>
        <v>7.012460156476379</v>
      </c>
      <c r="AT54" s="23">
        <f t="shared" si="168"/>
        <v>7.898879525882023</v>
      </c>
      <c r="AU54" s="8"/>
      <c r="AV54" s="20">
        <v>3640</v>
      </c>
      <c r="AW54" s="10">
        <v>398.2</v>
      </c>
      <c r="AX54" s="11">
        <v>1247448</v>
      </c>
      <c r="AY54" s="23">
        <f t="shared" si="169"/>
        <v>6.308411214953267</v>
      </c>
      <c r="AZ54" s="23">
        <f>AW54*100/AP54-100</f>
        <v>7.825616030327637</v>
      </c>
      <c r="BA54" s="23">
        <f t="shared" si="170"/>
        <v>7.058702368692067</v>
      </c>
      <c r="BB54" s="8"/>
      <c r="BC54" s="20">
        <v>3200</v>
      </c>
      <c r="BD54" s="10">
        <v>329.2</v>
      </c>
      <c r="BE54" s="11">
        <v>1036373</v>
      </c>
      <c r="BF54" s="23">
        <f t="shared" si="171"/>
        <v>-12.087912087912088</v>
      </c>
      <c r="BG54" s="23">
        <f>BD54*100/AW54-100</f>
        <v>-17.327975891511798</v>
      </c>
      <c r="BH54" s="23">
        <f t="shared" si="172"/>
        <v>-16.920544984640642</v>
      </c>
      <c r="BI54" s="8"/>
      <c r="BJ54" s="20">
        <v>3310</v>
      </c>
      <c r="BK54" s="10">
        <v>379.69</v>
      </c>
      <c r="BL54" s="11">
        <v>1238315</v>
      </c>
      <c r="BM54" s="23">
        <f t="shared" si="218"/>
        <v>3.4375</v>
      </c>
      <c r="BN54" s="23">
        <f>BK54*100/BD54-100</f>
        <v>15.337181044957475</v>
      </c>
      <c r="BO54" s="23">
        <f t="shared" si="173"/>
        <v>19.485455526147433</v>
      </c>
      <c r="BP54" s="8"/>
      <c r="BQ54" s="20">
        <v>3656</v>
      </c>
      <c r="BR54" s="10">
        <v>355.8</v>
      </c>
      <c r="BS54" s="11">
        <v>1254126</v>
      </c>
      <c r="BT54" s="23">
        <f t="shared" si="219"/>
        <v>10.453172205438065</v>
      </c>
      <c r="BU54" s="23">
        <f>BR54*100/BK54-100</f>
        <v>-6.291975032263167</v>
      </c>
      <c r="BV54" s="23">
        <f t="shared" si="174"/>
        <v>1.2768156729103595</v>
      </c>
      <c r="BW54" s="8"/>
      <c r="BX54" s="20">
        <v>3580</v>
      </c>
      <c r="BY54" s="10">
        <v>356.4</v>
      </c>
      <c r="BZ54" s="11">
        <v>1232160</v>
      </c>
      <c r="CA54" s="23">
        <f t="shared" si="175"/>
        <v>-2.078774617067836</v>
      </c>
      <c r="CB54" s="23">
        <f>BY54*100/BR54-100</f>
        <v>0.1686340640809476</v>
      </c>
      <c r="CC54" s="23">
        <f t="shared" si="176"/>
        <v>-1.7514986532453634</v>
      </c>
      <c r="CD54" s="8"/>
      <c r="CE54" s="20">
        <v>3414</v>
      </c>
      <c r="CF54" s="10">
        <v>355.6</v>
      </c>
      <c r="CG54" s="11">
        <v>1186962</v>
      </c>
      <c r="CH54" s="23">
        <f t="shared" si="177"/>
        <v>-4.636871508379883</v>
      </c>
      <c r="CI54" s="23">
        <f>CF54*100/BY54-100</f>
        <v>-0.22446689113354523</v>
      </c>
      <c r="CJ54" s="23">
        <f t="shared" si="178"/>
        <v>-3.668192442539933</v>
      </c>
      <c r="CK54" s="8"/>
      <c r="CL54" s="20">
        <v>3696</v>
      </c>
      <c r="CM54" s="10">
        <v>380.7</v>
      </c>
      <c r="CN54" s="11">
        <v>1288034</v>
      </c>
      <c r="CO54" s="23">
        <f t="shared" si="179"/>
        <v>8.260105448154661</v>
      </c>
      <c r="CP54" s="23">
        <f>CM54*100/CF54-100</f>
        <v>7.058492688413935</v>
      </c>
      <c r="CQ54" s="23">
        <f t="shared" si="180"/>
        <v>8.515184142373556</v>
      </c>
      <c r="CR54" s="8"/>
      <c r="CS54" s="20">
        <v>3263</v>
      </c>
      <c r="CT54" s="10">
        <v>402.9</v>
      </c>
      <c r="CU54" s="11">
        <v>1287270</v>
      </c>
      <c r="CV54" s="23">
        <f t="shared" si="181"/>
        <v>-11.71536796536796</v>
      </c>
      <c r="CW54" s="23">
        <f>CT54*100/CM54-100</f>
        <v>5.831363278171793</v>
      </c>
      <c r="CX54" s="23">
        <f t="shared" si="182"/>
        <v>-0.059315204412300204</v>
      </c>
      <c r="CY54" s="8"/>
      <c r="CZ54" s="20">
        <v>2969</v>
      </c>
      <c r="DA54" s="10">
        <v>404</v>
      </c>
      <c r="DB54" s="11">
        <v>1198550</v>
      </c>
      <c r="DC54" s="23">
        <f t="shared" si="183"/>
        <v>-9.010113392583506</v>
      </c>
      <c r="DD54" s="23">
        <f>DA54*100/CT54-100</f>
        <v>0.2730206006453244</v>
      </c>
      <c r="DE54" s="23">
        <f t="shared" si="184"/>
        <v>-6.892104997397595</v>
      </c>
      <c r="DF54" s="8"/>
      <c r="DG54" s="20">
        <v>2968</v>
      </c>
      <c r="DH54" s="10">
        <f>DI54/DG54</f>
        <v>428.48382749326146</v>
      </c>
      <c r="DI54" s="11">
        <v>1271740</v>
      </c>
      <c r="DJ54" s="23">
        <f t="shared" si="185"/>
        <v>-0.033681374200071446</v>
      </c>
      <c r="DK54" s="23">
        <f>DH54*100/DA54-100</f>
        <v>6.060353339916205</v>
      </c>
      <c r="DL54" s="23">
        <f t="shared" si="186"/>
        <v>6.106545409035917</v>
      </c>
      <c r="DM54" s="8"/>
      <c r="DN54" s="20">
        <v>3032</v>
      </c>
      <c r="DO54" s="10">
        <v>411.2</v>
      </c>
      <c r="DP54" s="11">
        <v>1178605</v>
      </c>
      <c r="DQ54" s="23">
        <f t="shared" si="187"/>
        <v>2.1563342318059284</v>
      </c>
      <c r="DR54" s="23">
        <f>DO54*100/DH54-100</f>
        <v>-4.033717583782845</v>
      </c>
      <c r="DS54" s="23">
        <f t="shared" si="188"/>
        <v>-7.323430889961784</v>
      </c>
      <c r="DT54" s="8"/>
      <c r="DU54" s="20">
        <v>3095</v>
      </c>
      <c r="DV54" s="10">
        <v>304.4</v>
      </c>
      <c r="DW54" s="11">
        <v>942140</v>
      </c>
      <c r="DX54" s="23">
        <f t="shared" si="189"/>
        <v>2.0778364116094963</v>
      </c>
      <c r="DY54" s="23">
        <f>DV54*100/DO54-100</f>
        <v>-25.9727626459144</v>
      </c>
      <c r="DZ54" s="23">
        <f t="shared" si="190"/>
        <v>-20.063125474607688</v>
      </c>
      <c r="EA54" s="8"/>
      <c r="EB54" s="20">
        <v>3180</v>
      </c>
      <c r="EC54" s="10">
        <v>421.5</v>
      </c>
      <c r="ED54" s="11">
        <v>1340310</v>
      </c>
      <c r="EE54" s="23">
        <f t="shared" si="191"/>
        <v>2.7463651050080813</v>
      </c>
      <c r="EF54" s="23">
        <f>EC54*100/DV54-100</f>
        <v>38.46911957950067</v>
      </c>
      <c r="EG54" s="23">
        <f t="shared" si="192"/>
        <v>42.26229647398475</v>
      </c>
      <c r="EH54" s="8"/>
      <c r="EI54" s="20">
        <v>2494</v>
      </c>
      <c r="EJ54" s="10">
        <v>396.6</v>
      </c>
      <c r="EK54" s="11">
        <v>974349</v>
      </c>
      <c r="EL54" s="23">
        <f t="shared" si="193"/>
        <v>-21.572327044025158</v>
      </c>
      <c r="EM54" s="23">
        <f>EJ54*100/EC54-100</f>
        <v>-5.907473309608534</v>
      </c>
      <c r="EN54" s="23">
        <f t="shared" si="194"/>
        <v>-27.30420574344741</v>
      </c>
      <c r="EO54" s="8"/>
      <c r="EP54" s="20">
        <v>2949</v>
      </c>
      <c r="EQ54" s="10">
        <v>378.3</v>
      </c>
      <c r="ER54" s="11">
        <v>1115720</v>
      </c>
      <c r="ES54" s="23">
        <f t="shared" si="195"/>
        <v>18.243785084202088</v>
      </c>
      <c r="ET54" s="23">
        <f>EQ54*100/EJ54-100</f>
        <v>-4.614220877458408</v>
      </c>
      <c r="EU54" s="23">
        <f t="shared" si="196"/>
        <v>14.509277476551006</v>
      </c>
      <c r="EV54" s="8"/>
      <c r="EW54" s="20">
        <v>2995</v>
      </c>
      <c r="EX54" s="10">
        <f t="shared" si="265"/>
        <v>352.5542570951586</v>
      </c>
      <c r="EY54" s="11">
        <v>1055900</v>
      </c>
      <c r="EZ54" s="11">
        <v>1055826</v>
      </c>
      <c r="FA54" s="23">
        <f t="shared" si="198"/>
        <v>1.5598507968802977</v>
      </c>
      <c r="FB54" s="23">
        <f>EX54*100/EQ54-100</f>
        <v>-6.8056417935081726</v>
      </c>
      <c r="FC54" s="23">
        <f t="shared" si="199"/>
        <v>-5.368192736528883</v>
      </c>
      <c r="FD54" s="8"/>
      <c r="FE54" s="20">
        <v>3427</v>
      </c>
      <c r="FF54" s="10">
        <f t="shared" si="229"/>
        <v>397.37087831922963</v>
      </c>
      <c r="FG54" s="11">
        <v>1361790</v>
      </c>
      <c r="FH54" s="11">
        <v>1360964</v>
      </c>
      <c r="FI54" s="23">
        <f t="shared" si="266"/>
        <v>14.424040066777962</v>
      </c>
      <c r="FJ54" s="23">
        <f aca="true" t="shared" si="271" ref="FJ54:FK83">FF54*100/EX54-100</f>
        <v>12.711978460658472</v>
      </c>
      <c r="FK54" s="23">
        <f t="shared" si="271"/>
        <v>28.969599393881992</v>
      </c>
      <c r="FL54" s="23">
        <f t="shared" si="267"/>
        <v>28.900405938099652</v>
      </c>
      <c r="FM54" s="23"/>
      <c r="FN54" s="20">
        <v>3180</v>
      </c>
      <c r="FO54" s="10">
        <f t="shared" si="220"/>
        <v>390.2305031446541</v>
      </c>
      <c r="FP54" s="11">
        <v>1240933</v>
      </c>
      <c r="FQ54" s="11">
        <v>1236199</v>
      </c>
      <c r="FR54" s="23">
        <f aca="true" t="shared" si="272" ref="FR54:FS57">FN54*100/FE54-100</f>
        <v>-7.207470090458131</v>
      </c>
      <c r="FS54" s="23">
        <f t="shared" si="272"/>
        <v>-1.796904495059465</v>
      </c>
      <c r="FT54" s="23">
        <f t="shared" si="53"/>
        <v>-8.874863231482095</v>
      </c>
      <c r="FU54" s="23">
        <f t="shared" si="53"/>
        <v>-9.167398990715398</v>
      </c>
      <c r="FV54" s="23"/>
      <c r="FW54" s="20">
        <v>3203</v>
      </c>
      <c r="FX54" s="10">
        <f>FY54/FW54</f>
        <v>383.07680299719016</v>
      </c>
      <c r="FY54" s="20">
        <v>1226995</v>
      </c>
      <c r="FZ54" s="20">
        <v>1226995</v>
      </c>
      <c r="GA54" s="23">
        <f aca="true" t="shared" si="273" ref="GA54:GD56">FW54*100/FN54-100</f>
        <v>0.723270440251568</v>
      </c>
      <c r="GB54" s="23">
        <f t="shared" si="273"/>
        <v>-1.833198606930054</v>
      </c>
      <c r="GC54" s="23">
        <f t="shared" si="273"/>
        <v>-1.1231871503135125</v>
      </c>
      <c r="GD54" s="23">
        <f t="shared" si="273"/>
        <v>-0.744540320773595</v>
      </c>
      <c r="GE54" s="23"/>
      <c r="GF54" s="20">
        <v>3482</v>
      </c>
      <c r="GG54" s="10">
        <f>GH54/GF54</f>
        <v>428.62291786329695</v>
      </c>
      <c r="GH54" s="20">
        <v>1492465</v>
      </c>
      <c r="GI54" s="20">
        <v>1492465</v>
      </c>
      <c r="GJ54" s="23">
        <f aca="true" t="shared" si="274" ref="GJ54:GK56">GF54*100/FW54-100</f>
        <v>8.710583827661566</v>
      </c>
      <c r="GK54" s="23">
        <f t="shared" si="274"/>
        <v>11.889551784330024</v>
      </c>
      <c r="GL54" s="23">
        <f t="shared" si="57"/>
        <v>21.635784986898884</v>
      </c>
      <c r="GM54" s="23">
        <f t="shared" si="57"/>
        <v>21.635784986898884</v>
      </c>
      <c r="GN54" s="23"/>
      <c r="GO54" s="20">
        <v>3104</v>
      </c>
      <c r="GP54" s="10">
        <f>GQ54/GO54</f>
        <v>392.44523195876286</v>
      </c>
      <c r="GQ54" s="20">
        <v>1218150</v>
      </c>
      <c r="GR54" s="20">
        <v>1218150</v>
      </c>
      <c r="GS54" s="23">
        <f aca="true" t="shared" si="275" ref="GS54:GT56">GO54*100/GF54-100</f>
        <v>-10.855829982768526</v>
      </c>
      <c r="GT54" s="23">
        <f t="shared" si="275"/>
        <v>-8.440445995020823</v>
      </c>
      <c r="GU54" s="23">
        <f t="shared" si="59"/>
        <v>-18.379995510782493</v>
      </c>
      <c r="GV54" s="23">
        <f t="shared" si="60"/>
        <v>-18.379995510782493</v>
      </c>
      <c r="GW54" s="23"/>
      <c r="GX54" s="20">
        <v>2645</v>
      </c>
      <c r="GY54" s="10">
        <f>GZ54/GX54</f>
        <v>395.0888468809074</v>
      </c>
      <c r="GZ54" s="20">
        <v>1045010</v>
      </c>
      <c r="HA54" s="20">
        <v>1031360</v>
      </c>
      <c r="HB54" s="23">
        <f t="shared" si="210"/>
        <v>-14.787371134020617</v>
      </c>
      <c r="HC54" s="23">
        <f>GY54*100/GP54-100</f>
        <v>0.6736264596590331</v>
      </c>
      <c r="HD54" s="23">
        <f t="shared" si="62"/>
        <v>-14.213356319008327</v>
      </c>
      <c r="HE54" s="23">
        <f t="shared" si="63"/>
        <v>-15.333907975208305</v>
      </c>
      <c r="HF54" s="23"/>
      <c r="HG54" s="20">
        <v>3088</v>
      </c>
      <c r="HH54" s="10">
        <f>HI54/HG54</f>
        <v>509.4138601036269</v>
      </c>
      <c r="HI54" s="19">
        <v>1573070</v>
      </c>
      <c r="HJ54" s="19">
        <v>1570670</v>
      </c>
      <c r="HK54" s="23">
        <f t="shared" si="211"/>
        <v>16.748582230623825</v>
      </c>
      <c r="HL54" s="23">
        <f>HH54*100/GY54-100</f>
        <v>28.936532662280086</v>
      </c>
      <c r="HM54" s="23">
        <f t="shared" si="105"/>
        <v>50.53157386053721</v>
      </c>
      <c r="HN54" s="23">
        <f t="shared" si="106"/>
        <v>52.2911495501086</v>
      </c>
      <c r="HO54" s="23"/>
      <c r="HP54" s="20">
        <v>3045</v>
      </c>
      <c r="HQ54" s="10">
        <f>HR54/HP54</f>
        <v>387.22298850574714</v>
      </c>
      <c r="HR54" s="20">
        <v>1179094</v>
      </c>
      <c r="HS54" s="20">
        <v>1179094</v>
      </c>
      <c r="HT54" s="23">
        <f t="shared" si="212"/>
        <v>-1.3924870466321266</v>
      </c>
      <c r="HU54" s="23">
        <f>HQ54*100/HH54-100</f>
        <v>-23.98656204073899</v>
      </c>
      <c r="HV54" s="23">
        <f t="shared" si="64"/>
        <v>-25.045039318021452</v>
      </c>
      <c r="HW54" s="23">
        <f t="shared" si="65"/>
        <v>-24.93050736309982</v>
      </c>
      <c r="HX54" s="23"/>
      <c r="HY54" s="20">
        <v>3169</v>
      </c>
      <c r="HZ54" s="10">
        <f>IA54/HY54</f>
        <v>461.1139160618492</v>
      </c>
      <c r="IA54" s="20">
        <v>1461270</v>
      </c>
      <c r="IB54" s="20">
        <v>1461270</v>
      </c>
      <c r="IC54" s="23">
        <f t="shared" si="268"/>
        <v>4.072249589490966</v>
      </c>
      <c r="ID54" s="23">
        <f>HZ54*100/HQ54-100</f>
        <v>19.08226777579486</v>
      </c>
      <c r="IE54" s="23">
        <f t="shared" si="269"/>
        <v>23.931594936451205</v>
      </c>
      <c r="IF54" s="23">
        <f t="shared" si="270"/>
        <v>23.931594936451205</v>
      </c>
      <c r="IG54" s="23"/>
      <c r="IH54" s="1" t="s">
        <v>50</v>
      </c>
      <c r="II54" s="29">
        <f t="shared" si="223"/>
        <v>3056.7</v>
      </c>
      <c r="IJ54" s="30">
        <f t="shared" si="224"/>
        <v>402.3703298362827</v>
      </c>
      <c r="IK54" s="29">
        <f t="shared" si="225"/>
        <v>1228269.8</v>
      </c>
      <c r="IL54" s="25">
        <f t="shared" si="226"/>
        <v>-0.3827657277456069</v>
      </c>
      <c r="IM54" s="25">
        <f t="shared" si="227"/>
        <v>-3.7645274035734104</v>
      </c>
      <c r="IN54" s="25">
        <f t="shared" si="228"/>
        <v>-4.003664341498919</v>
      </c>
      <c r="IP54" s="30">
        <f>HP54*100/Italia!BR54</f>
        <v>25.63778732003031</v>
      </c>
      <c r="IQ54" s="30">
        <f>HR54*100/Italia!BT54</f>
        <v>30.548296919246482</v>
      </c>
      <c r="IR54" s="30">
        <f>HS54*100/Italia!BU54</f>
        <v>31.16819331938322</v>
      </c>
    </row>
    <row r="55" spans="1:252" ht="12">
      <c r="A55" s="1" t="s">
        <v>51</v>
      </c>
      <c r="B55" s="20">
        <v>4299</v>
      </c>
      <c r="C55" s="10">
        <v>448.3</v>
      </c>
      <c r="D55" s="11">
        <v>1853300</v>
      </c>
      <c r="E55" s="9"/>
      <c r="F55" s="20">
        <v>4313</v>
      </c>
      <c r="G55" s="10">
        <v>440.8</v>
      </c>
      <c r="H55" s="11">
        <v>1546800</v>
      </c>
      <c r="I55" s="23">
        <f t="shared" si="214"/>
        <v>0.32565712956501613</v>
      </c>
      <c r="J55" s="23">
        <f>G55*100/C55-100</f>
        <v>-1.672986839170207</v>
      </c>
      <c r="K55" s="23">
        <f t="shared" si="215"/>
        <v>-16.538067231425032</v>
      </c>
      <c r="L55" s="8"/>
      <c r="M55" s="20">
        <v>4535</v>
      </c>
      <c r="N55" s="10">
        <v>480.2</v>
      </c>
      <c r="O55" s="11">
        <v>1989900</v>
      </c>
      <c r="P55" s="23">
        <f t="shared" si="216"/>
        <v>5.14722930674705</v>
      </c>
      <c r="Q55" s="23">
        <f>N55*100/G55-100</f>
        <v>8.938294010889294</v>
      </c>
      <c r="R55" s="23">
        <f t="shared" si="217"/>
        <v>28.646237393328164</v>
      </c>
      <c r="S55" s="8"/>
      <c r="T55" s="20">
        <v>4476</v>
      </c>
      <c r="U55" s="10">
        <v>485</v>
      </c>
      <c r="V55" s="11">
        <v>2087200</v>
      </c>
      <c r="W55" s="23">
        <f t="shared" si="161"/>
        <v>-1.3009922822491689</v>
      </c>
      <c r="X55" s="23">
        <f>U55*100/N55-100</f>
        <v>0.9995835068721419</v>
      </c>
      <c r="Y55" s="23">
        <f t="shared" si="162"/>
        <v>4.889692949394444</v>
      </c>
      <c r="Z55" s="8"/>
      <c r="AA55" s="20">
        <v>5570</v>
      </c>
      <c r="AB55" s="10">
        <f>2710210/AA55</f>
        <v>486.572710951526</v>
      </c>
      <c r="AC55" s="11">
        <v>1993700</v>
      </c>
      <c r="AD55" s="23">
        <f t="shared" si="163"/>
        <v>24.4414655942806</v>
      </c>
      <c r="AE55" s="23">
        <f>AB55*100/U55-100</f>
        <v>0.324270299283711</v>
      </c>
      <c r="AF55" s="23">
        <f t="shared" si="164"/>
        <v>-4.47968570333461</v>
      </c>
      <c r="AG55" s="8"/>
      <c r="AH55" s="20">
        <v>5709</v>
      </c>
      <c r="AI55" s="10">
        <v>459.5</v>
      </c>
      <c r="AJ55" s="11">
        <v>2452000</v>
      </c>
      <c r="AK55" s="23">
        <f t="shared" si="165"/>
        <v>2.4955116696588817</v>
      </c>
      <c r="AL55" s="23">
        <f>AI55*100/AB55-100</f>
        <v>-5.563959988340386</v>
      </c>
      <c r="AM55" s="23">
        <f t="shared" si="166"/>
        <v>22.987410342579125</v>
      </c>
      <c r="AN55" s="8"/>
      <c r="AO55" s="20">
        <v>5646</v>
      </c>
      <c r="AP55" s="10">
        <v>411.3</v>
      </c>
      <c r="AQ55" s="11">
        <v>2152500</v>
      </c>
      <c r="AR55" s="23">
        <f t="shared" si="167"/>
        <v>-1.1035207566999503</v>
      </c>
      <c r="AS55" s="23">
        <f>AP55*100/AI55-100</f>
        <v>-10.489662676822633</v>
      </c>
      <c r="AT55" s="23">
        <f t="shared" si="168"/>
        <v>-12.214518760195759</v>
      </c>
      <c r="AU55" s="8"/>
      <c r="AV55" s="20">
        <v>6070</v>
      </c>
      <c r="AW55" s="10">
        <v>446.3</v>
      </c>
      <c r="AX55" s="11">
        <v>2578393</v>
      </c>
      <c r="AY55" s="23">
        <f t="shared" si="169"/>
        <v>7.509741409847678</v>
      </c>
      <c r="AZ55" s="23">
        <f>AW55*100/AP55-100</f>
        <v>8.50960369559931</v>
      </c>
      <c r="BA55" s="23">
        <f t="shared" si="170"/>
        <v>19.785969802555172</v>
      </c>
      <c r="BB55" s="8"/>
      <c r="BC55" s="20">
        <v>5552</v>
      </c>
      <c r="BD55" s="10">
        <v>518.1</v>
      </c>
      <c r="BE55" s="11">
        <v>2719257</v>
      </c>
      <c r="BF55" s="23">
        <f t="shared" si="171"/>
        <v>-8.533772652388791</v>
      </c>
      <c r="BG55" s="23">
        <f>BD55*100/AW55-100</f>
        <v>16.087833295989242</v>
      </c>
      <c r="BH55" s="23">
        <f t="shared" si="172"/>
        <v>5.463247844684659</v>
      </c>
      <c r="BI55" s="8"/>
      <c r="BJ55" s="20">
        <v>3345</v>
      </c>
      <c r="BK55" s="10">
        <v>385.1</v>
      </c>
      <c r="BL55" s="11">
        <v>1234843</v>
      </c>
      <c r="BM55" s="23">
        <f t="shared" si="218"/>
        <v>-39.7514409221902</v>
      </c>
      <c r="BN55" s="23">
        <f>BK55*100/BD55-100</f>
        <v>-25.670719938235862</v>
      </c>
      <c r="BO55" s="23">
        <f t="shared" si="173"/>
        <v>-54.58895573312857</v>
      </c>
      <c r="BP55" s="8"/>
      <c r="BQ55" s="20">
        <v>3196</v>
      </c>
      <c r="BR55" s="10">
        <v>403.2</v>
      </c>
      <c r="BS55" s="11">
        <v>1117869</v>
      </c>
      <c r="BT55" s="23">
        <f t="shared" si="219"/>
        <v>-4.454409566517185</v>
      </c>
      <c r="BU55" s="23">
        <f>BR55*100/BK55-100</f>
        <v>4.70007790184367</v>
      </c>
      <c r="BV55" s="23">
        <f t="shared" si="174"/>
        <v>-9.472783179724061</v>
      </c>
      <c r="BW55" s="8"/>
      <c r="BX55" s="20">
        <v>2677</v>
      </c>
      <c r="BY55" s="10">
        <v>466.7</v>
      </c>
      <c r="BZ55" s="11">
        <v>1074541</v>
      </c>
      <c r="CA55" s="23">
        <f t="shared" si="175"/>
        <v>-16.239048811013774</v>
      </c>
      <c r="CB55" s="23">
        <f>BY55*100/BR55-100</f>
        <v>15.749007936507937</v>
      </c>
      <c r="CC55" s="23">
        <f t="shared" si="176"/>
        <v>-3.8759461081754694</v>
      </c>
      <c r="CD55" s="8"/>
      <c r="CE55" s="20">
        <v>2130</v>
      </c>
      <c r="CF55" s="10">
        <v>433.4</v>
      </c>
      <c r="CG55" s="11">
        <v>759127</v>
      </c>
      <c r="CH55" s="23">
        <f t="shared" si="177"/>
        <v>-20.433320881583867</v>
      </c>
      <c r="CI55" s="23">
        <f>CF55*100/BY55-100</f>
        <v>-7.135204628240842</v>
      </c>
      <c r="CJ55" s="23">
        <f t="shared" si="178"/>
        <v>-29.353370415833368</v>
      </c>
      <c r="CK55" s="8"/>
      <c r="CL55" s="20">
        <v>2259</v>
      </c>
      <c r="CM55" s="10">
        <v>475.3</v>
      </c>
      <c r="CN55" s="11">
        <v>1061997</v>
      </c>
      <c r="CO55" s="23">
        <f t="shared" si="179"/>
        <v>6.056338028169009</v>
      </c>
      <c r="CP55" s="23">
        <f>CM55*100/CF55-100</f>
        <v>9.667743424088613</v>
      </c>
      <c r="CQ55" s="23">
        <f t="shared" si="180"/>
        <v>39.89714500999173</v>
      </c>
      <c r="CR55" s="8"/>
      <c r="CS55" s="20">
        <v>2348</v>
      </c>
      <c r="CT55" s="10">
        <v>437.3</v>
      </c>
      <c r="CU55" s="11">
        <v>971775</v>
      </c>
      <c r="CV55" s="23">
        <f t="shared" si="181"/>
        <v>3.939796370075257</v>
      </c>
      <c r="CW55" s="23">
        <f>CT55*100/CM55-100</f>
        <v>-7.994950557542609</v>
      </c>
      <c r="CX55" s="23">
        <f t="shared" si="182"/>
        <v>-8.495504224588203</v>
      </c>
      <c r="CY55" s="8"/>
      <c r="CZ55" s="20">
        <v>2173</v>
      </c>
      <c r="DA55" s="10">
        <v>458.5</v>
      </c>
      <c r="DB55" s="11">
        <v>905740</v>
      </c>
      <c r="DC55" s="23">
        <f t="shared" si="183"/>
        <v>-7.4531516183986355</v>
      </c>
      <c r="DD55" s="23">
        <f>DA55*100/CT55-100</f>
        <v>4.847930482506285</v>
      </c>
      <c r="DE55" s="23">
        <f t="shared" si="184"/>
        <v>-6.795297265313479</v>
      </c>
      <c r="DF55" s="8"/>
      <c r="DG55" s="20">
        <v>1838</v>
      </c>
      <c r="DH55" s="10">
        <f>DI55/DG55</f>
        <v>478.1120783460283</v>
      </c>
      <c r="DI55" s="11">
        <v>878770</v>
      </c>
      <c r="DJ55" s="23">
        <f t="shared" si="185"/>
        <v>-15.416474919466182</v>
      </c>
      <c r="DK55" s="23">
        <f>DH55*100/DA55-100</f>
        <v>4.277443477868758</v>
      </c>
      <c r="DL55" s="23">
        <f t="shared" si="186"/>
        <v>-2.977675712676927</v>
      </c>
      <c r="DM55" s="8"/>
      <c r="DN55" s="20">
        <v>2041</v>
      </c>
      <c r="DO55" s="10">
        <v>552.1</v>
      </c>
      <c r="DP55" s="11">
        <v>934440</v>
      </c>
      <c r="DQ55" s="23">
        <f t="shared" si="187"/>
        <v>11.044613710554955</v>
      </c>
      <c r="DR55" s="23">
        <f>DO55*100/DH55-100</f>
        <v>15.475016215847148</v>
      </c>
      <c r="DS55" s="23">
        <f t="shared" si="188"/>
        <v>6.334990953264224</v>
      </c>
      <c r="DT55" s="8"/>
      <c r="DU55" s="20">
        <v>1725</v>
      </c>
      <c r="DV55" s="10">
        <v>460.6</v>
      </c>
      <c r="DW55" s="11">
        <v>794550</v>
      </c>
      <c r="DX55" s="23">
        <f t="shared" si="189"/>
        <v>-15.482606565409114</v>
      </c>
      <c r="DY55" s="23">
        <f>DV55*100/DO55-100</f>
        <v>-16.573084586125702</v>
      </c>
      <c r="DZ55" s="23">
        <f t="shared" si="190"/>
        <v>-14.970463593168105</v>
      </c>
      <c r="EA55" s="8"/>
      <c r="EB55" s="20">
        <v>1788</v>
      </c>
      <c r="EC55" s="10">
        <v>473.1</v>
      </c>
      <c r="ED55" s="11">
        <v>840330</v>
      </c>
      <c r="EE55" s="23">
        <f t="shared" si="191"/>
        <v>3.652173913043484</v>
      </c>
      <c r="EF55" s="23">
        <f>EC55*100/DV55-100</f>
        <v>2.7138514980460258</v>
      </c>
      <c r="EG55" s="23">
        <f t="shared" si="192"/>
        <v>5.761751935057575</v>
      </c>
      <c r="EH55" s="8"/>
      <c r="EI55" s="20">
        <v>1561</v>
      </c>
      <c r="EJ55" s="10">
        <v>453.8</v>
      </c>
      <c r="EK55" s="11">
        <v>664428</v>
      </c>
      <c r="EL55" s="23">
        <f t="shared" si="193"/>
        <v>-12.695749440715886</v>
      </c>
      <c r="EM55" s="23">
        <f>EJ55*100/EC55-100</f>
        <v>-4.079475797928566</v>
      </c>
      <c r="EN55" s="23">
        <f t="shared" si="194"/>
        <v>-20.932490807182887</v>
      </c>
      <c r="EO55" s="8"/>
      <c r="EP55" s="20">
        <v>1575</v>
      </c>
      <c r="EQ55" s="10">
        <v>462.5</v>
      </c>
      <c r="ER55" s="11">
        <v>717760</v>
      </c>
      <c r="ES55" s="23">
        <f t="shared" si="195"/>
        <v>0.8968609865470825</v>
      </c>
      <c r="ET55" s="23">
        <f>EQ55*100/EJ55-100</f>
        <v>1.917144116350812</v>
      </c>
      <c r="EU55" s="23">
        <f t="shared" si="196"/>
        <v>8.026753839392683</v>
      </c>
      <c r="EV55" s="8"/>
      <c r="EW55" s="20">
        <v>1535</v>
      </c>
      <c r="EX55" s="10">
        <f t="shared" si="265"/>
        <v>442.43648208469057</v>
      </c>
      <c r="EY55" s="11">
        <v>679140</v>
      </c>
      <c r="EZ55" s="11">
        <v>672692</v>
      </c>
      <c r="FA55" s="23">
        <f t="shared" si="198"/>
        <v>-2.539682539682545</v>
      </c>
      <c r="FB55" s="23">
        <f>EX55*100/EQ55-100</f>
        <v>-4.338057927634466</v>
      </c>
      <c r="FC55" s="23">
        <f t="shared" si="199"/>
        <v>-6.278979045920636</v>
      </c>
      <c r="FD55" s="8"/>
      <c r="FE55" s="20">
        <v>1455</v>
      </c>
      <c r="FF55" s="10">
        <f t="shared" si="229"/>
        <v>381.83505154639175</v>
      </c>
      <c r="FG55" s="11">
        <v>555570</v>
      </c>
      <c r="FH55" s="11">
        <v>550890</v>
      </c>
      <c r="FI55" s="23">
        <f t="shared" si="266"/>
        <v>-5.211726384364823</v>
      </c>
      <c r="FJ55" s="23">
        <f t="shared" si="271"/>
        <v>-13.69720468184596</v>
      </c>
      <c r="FK55" s="23">
        <f t="shared" si="271"/>
        <v>-18.19507023588656</v>
      </c>
      <c r="FL55" s="23">
        <f t="shared" si="267"/>
        <v>-18.106652078514387</v>
      </c>
      <c r="FM55" s="23"/>
      <c r="FN55" s="20">
        <v>1570</v>
      </c>
      <c r="FO55" s="10">
        <f t="shared" si="220"/>
        <v>485.4777070063694</v>
      </c>
      <c r="FP55" s="11">
        <v>762200</v>
      </c>
      <c r="FQ55" s="11">
        <v>756800</v>
      </c>
      <c r="FR55" s="23">
        <f t="shared" si="272"/>
        <v>7.903780068728523</v>
      </c>
      <c r="FS55" s="23">
        <f t="shared" si="272"/>
        <v>27.143305739018942</v>
      </c>
      <c r="FT55" s="23">
        <f t="shared" si="53"/>
        <v>37.1924329967421</v>
      </c>
      <c r="FU55" s="23">
        <f t="shared" si="53"/>
        <v>37.37769790702319</v>
      </c>
      <c r="FV55" s="23"/>
      <c r="FW55" s="20">
        <v>1668</v>
      </c>
      <c r="FX55" s="10">
        <f>FY55/FW55</f>
        <v>390.2757793764988</v>
      </c>
      <c r="FY55" s="20">
        <v>650980</v>
      </c>
      <c r="FZ55" s="20">
        <v>645460</v>
      </c>
      <c r="GA55" s="23">
        <f t="shared" si="273"/>
        <v>6.242038216560516</v>
      </c>
      <c r="GB55" s="23">
        <f t="shared" si="273"/>
        <v>-19.609948357241777</v>
      </c>
      <c r="GC55" s="23">
        <f t="shared" si="273"/>
        <v>-14.591970611388092</v>
      </c>
      <c r="GD55" s="23">
        <f t="shared" si="273"/>
        <v>-14.711945031712474</v>
      </c>
      <c r="GE55" s="23"/>
      <c r="GF55" s="20">
        <v>1699</v>
      </c>
      <c r="GG55" s="10">
        <f>GH55/GF55</f>
        <v>409.4467333725721</v>
      </c>
      <c r="GH55" s="20">
        <v>695650</v>
      </c>
      <c r="GI55" s="20">
        <v>687140</v>
      </c>
      <c r="GJ55" s="23">
        <f t="shared" si="274"/>
        <v>1.8585131894484448</v>
      </c>
      <c r="GK55" s="23">
        <f t="shared" si="274"/>
        <v>4.912155713762374</v>
      </c>
      <c r="GL55" s="23">
        <f t="shared" si="57"/>
        <v>6.861961965037324</v>
      </c>
      <c r="GM55" s="23">
        <f t="shared" si="57"/>
        <v>6.457410219068578</v>
      </c>
      <c r="GN55" s="23"/>
      <c r="GO55" s="20">
        <v>1650</v>
      </c>
      <c r="GP55" s="10">
        <f>GQ55/GO55</f>
        <v>416.74545454545455</v>
      </c>
      <c r="GQ55" s="20">
        <v>687630</v>
      </c>
      <c r="GR55" s="20">
        <v>682830</v>
      </c>
      <c r="GS55" s="23">
        <f t="shared" si="275"/>
        <v>-2.884049440847562</v>
      </c>
      <c r="GT55" s="23">
        <f t="shared" si="275"/>
        <v>1.7825813660213186</v>
      </c>
      <c r="GU55" s="23">
        <f t="shared" si="59"/>
        <v>-1.1528786027456306</v>
      </c>
      <c r="GV55" s="23">
        <f t="shared" si="60"/>
        <v>-0.6272375352912007</v>
      </c>
      <c r="GW55" s="23"/>
      <c r="GX55" s="20">
        <v>1456</v>
      </c>
      <c r="GY55" s="10">
        <f>GZ55/GX55</f>
        <v>377.38324175824175</v>
      </c>
      <c r="GZ55" s="20">
        <v>549470</v>
      </c>
      <c r="HA55" s="20">
        <v>510470</v>
      </c>
      <c r="HB55" s="23">
        <f t="shared" si="210"/>
        <v>-11.75757575757575</v>
      </c>
      <c r="HC55" s="23">
        <f>GY55*100/GP55-100</f>
        <v>-9.445145077861795</v>
      </c>
      <c r="HD55" s="23">
        <f t="shared" si="62"/>
        <v>-20.092200747495014</v>
      </c>
      <c r="HE55" s="23">
        <f t="shared" si="63"/>
        <v>-25.242007527495858</v>
      </c>
      <c r="HF55" s="23"/>
      <c r="HG55" s="20">
        <v>1288</v>
      </c>
      <c r="HH55" s="10">
        <f>HI55/HG55</f>
        <v>395.9394409937888</v>
      </c>
      <c r="HI55" s="20">
        <v>509970</v>
      </c>
      <c r="HJ55" s="20">
        <v>482220</v>
      </c>
      <c r="HK55" s="23">
        <f t="shared" si="211"/>
        <v>-11.538461538461533</v>
      </c>
      <c r="HL55" s="23">
        <f>HH55*100/GY55-100</f>
        <v>4.917070283538052</v>
      </c>
      <c r="HM55" s="23">
        <f t="shared" si="105"/>
        <v>-7.188745518408652</v>
      </c>
      <c r="HN55" s="23">
        <f t="shared" si="106"/>
        <v>-5.53411561893941</v>
      </c>
      <c r="HO55" s="23"/>
      <c r="HP55" s="20">
        <v>1167</v>
      </c>
      <c r="HQ55" s="10">
        <f>HR55/HP55</f>
        <v>387.20222793487574</v>
      </c>
      <c r="HR55" s="20">
        <v>451865</v>
      </c>
      <c r="HS55" s="20">
        <v>429665</v>
      </c>
      <c r="HT55" s="23">
        <f t="shared" si="212"/>
        <v>-9.394409937888199</v>
      </c>
      <c r="HU55" s="23">
        <f>HQ55*100/HH55-100</f>
        <v>-2.206704398274425</v>
      </c>
      <c r="HV55" s="23">
        <f t="shared" si="64"/>
        <v>-11.39380747887131</v>
      </c>
      <c r="HW55" s="23">
        <f t="shared" si="65"/>
        <v>-10.898552527891837</v>
      </c>
      <c r="HX55" s="23"/>
      <c r="HY55" s="20"/>
      <c r="HZ55" s="10" t="e">
        <f>IA55/HY55</f>
        <v>#DIV/0!</v>
      </c>
      <c r="IA55" s="20"/>
      <c r="IB55" s="20"/>
      <c r="IC55" s="23">
        <f t="shared" si="268"/>
        <v>-100</v>
      </c>
      <c r="ID55" s="23" t="e">
        <f>HZ55*100/HQ55-100</f>
        <v>#DIV/0!</v>
      </c>
      <c r="IE55" s="23">
        <f t="shared" si="269"/>
        <v>-100</v>
      </c>
      <c r="IF55" s="23">
        <f t="shared" si="270"/>
        <v>-100</v>
      </c>
      <c r="IG55" s="23"/>
      <c r="IH55" s="1" t="s">
        <v>51</v>
      </c>
      <c r="II55" s="29">
        <f t="shared" si="223"/>
        <v>1545.7</v>
      </c>
      <c r="IJ55" s="30">
        <f t="shared" si="224"/>
        <v>421.5839890684007</v>
      </c>
      <c r="IK55" s="29">
        <f t="shared" si="225"/>
        <v>637069</v>
      </c>
      <c r="IL55" s="25">
        <f t="shared" si="226"/>
        <v>-24.50022643462509</v>
      </c>
      <c r="IM55" s="25">
        <f t="shared" si="227"/>
        <v>-8.155376395934866</v>
      </c>
      <c r="IN55" s="25">
        <f t="shared" si="228"/>
        <v>-32.555971174237015</v>
      </c>
      <c r="IP55" s="30">
        <f>HP55*100/Italia!BR55</f>
        <v>12.168925964546402</v>
      </c>
      <c r="IQ55" s="30">
        <f>HR55*100/Italia!BT55</f>
        <v>10.418114859909423</v>
      </c>
      <c r="IR55" s="30">
        <f>HS55*100/Italia!BU55</f>
        <v>10.285762574154132</v>
      </c>
    </row>
    <row r="56" spans="1:252" ht="12">
      <c r="A56" s="1" t="s">
        <v>52</v>
      </c>
      <c r="B56" s="20">
        <v>0.4</v>
      </c>
      <c r="C56" s="10">
        <v>400</v>
      </c>
      <c r="D56" s="11">
        <v>155</v>
      </c>
      <c r="E56" s="9"/>
      <c r="F56" s="20">
        <v>6.92</v>
      </c>
      <c r="G56" s="10">
        <v>447</v>
      </c>
      <c r="H56" s="11">
        <v>2908</v>
      </c>
      <c r="I56" s="23">
        <f t="shared" si="214"/>
        <v>1630</v>
      </c>
      <c r="J56" s="23">
        <f>G56*100/C56-100</f>
        <v>11.75</v>
      </c>
      <c r="K56" s="23">
        <f t="shared" si="215"/>
        <v>1776.1290322580646</v>
      </c>
      <c r="L56" s="8"/>
      <c r="M56" s="20">
        <v>6.8</v>
      </c>
      <c r="N56" s="10">
        <f>3045/M56</f>
        <v>447.79411764705884</v>
      </c>
      <c r="O56" s="11">
        <v>2860</v>
      </c>
      <c r="P56" s="23">
        <f t="shared" si="216"/>
        <v>-1.734104046242777</v>
      </c>
      <c r="Q56" s="23">
        <f>N56*100/G56-100</f>
        <v>0.1776549545992907</v>
      </c>
      <c r="R56" s="23">
        <f t="shared" si="217"/>
        <v>-1.6506189821182886</v>
      </c>
      <c r="S56" s="8"/>
      <c r="T56" s="20">
        <v>6</v>
      </c>
      <c r="U56" s="10">
        <f>2520/T56</f>
        <v>420</v>
      </c>
      <c r="V56" s="11">
        <v>2500</v>
      </c>
      <c r="W56" s="23">
        <f t="shared" si="161"/>
        <v>-11.764705882352942</v>
      </c>
      <c r="X56" s="23">
        <f>U56*100/N56-100</f>
        <v>-6.206896551724142</v>
      </c>
      <c r="Y56" s="23">
        <f t="shared" si="162"/>
        <v>-12.587412587412587</v>
      </c>
      <c r="Z56" s="8"/>
      <c r="AA56" s="20">
        <v>0</v>
      </c>
      <c r="AB56" s="10">
        <v>0</v>
      </c>
      <c r="AC56" s="11">
        <v>0</v>
      </c>
      <c r="AD56" s="23">
        <f t="shared" si="163"/>
        <v>-100</v>
      </c>
      <c r="AE56" s="23">
        <f>AB56*100/U56-100</f>
        <v>-100</v>
      </c>
      <c r="AF56" s="23">
        <f t="shared" si="164"/>
        <v>-100</v>
      </c>
      <c r="AG56" s="8"/>
      <c r="AH56" s="20" t="s">
        <v>1</v>
      </c>
      <c r="AI56" s="10" t="s">
        <v>1</v>
      </c>
      <c r="AJ56" s="11" t="s">
        <v>1</v>
      </c>
      <c r="AK56" s="23" t="e">
        <f t="shared" si="165"/>
        <v>#DIV/0!</v>
      </c>
      <c r="AL56" s="23" t="e">
        <f>AI56*100/AB56-100</f>
        <v>#DIV/0!</v>
      </c>
      <c r="AM56" s="23" t="e">
        <f t="shared" si="166"/>
        <v>#DIV/0!</v>
      </c>
      <c r="AN56" s="8"/>
      <c r="AO56" s="20">
        <v>0</v>
      </c>
      <c r="AP56" s="10">
        <v>0</v>
      </c>
      <c r="AQ56" s="11">
        <v>0</v>
      </c>
      <c r="AR56" s="23" t="e">
        <f t="shared" si="167"/>
        <v>#DIV/0!</v>
      </c>
      <c r="AS56" s="23" t="e">
        <f>AP56*100/AI56-100</f>
        <v>#DIV/0!</v>
      </c>
      <c r="AT56" s="23" t="e">
        <f t="shared" si="168"/>
        <v>#DIV/0!</v>
      </c>
      <c r="AU56" s="8"/>
      <c r="AV56" s="20">
        <v>0</v>
      </c>
      <c r="AW56" s="10">
        <v>0</v>
      </c>
      <c r="AX56" s="11">
        <v>0</v>
      </c>
      <c r="AY56" s="23" t="e">
        <f t="shared" si="169"/>
        <v>#DIV/0!</v>
      </c>
      <c r="AZ56" s="23" t="e">
        <f>AW56*100/AP56-100</f>
        <v>#DIV/0!</v>
      </c>
      <c r="BA56" s="23" t="e">
        <f t="shared" si="170"/>
        <v>#DIV/0!</v>
      </c>
      <c r="BB56" s="8"/>
      <c r="BC56" s="20">
        <v>0</v>
      </c>
      <c r="BD56" s="10">
        <v>0</v>
      </c>
      <c r="BE56" s="11">
        <v>0</v>
      </c>
      <c r="BF56" s="23" t="e">
        <f t="shared" si="171"/>
        <v>#DIV/0!</v>
      </c>
      <c r="BG56" s="23" t="e">
        <f>BD56*100/AW56-100</f>
        <v>#DIV/0!</v>
      </c>
      <c r="BH56" s="23" t="e">
        <f t="shared" si="172"/>
        <v>#DIV/0!</v>
      </c>
      <c r="BI56" s="8"/>
      <c r="BJ56" s="20">
        <v>9</v>
      </c>
      <c r="BK56" s="10">
        <f>BL56/BJ56</f>
        <v>350</v>
      </c>
      <c r="BL56" s="11">
        <v>3150</v>
      </c>
      <c r="BM56" s="23" t="e">
        <f t="shared" si="218"/>
        <v>#DIV/0!</v>
      </c>
      <c r="BN56" s="23" t="e">
        <f>BK56*100/BD56-100</f>
        <v>#DIV/0!</v>
      </c>
      <c r="BO56" s="23" t="e">
        <f t="shared" si="173"/>
        <v>#DIV/0!</v>
      </c>
      <c r="BP56" s="8"/>
      <c r="BQ56" s="20">
        <v>10.9</v>
      </c>
      <c r="BR56" s="10">
        <f>3762/BQ56</f>
        <v>345.13761467889907</v>
      </c>
      <c r="BS56" s="11">
        <v>3757</v>
      </c>
      <c r="BT56" s="23">
        <f t="shared" si="219"/>
        <v>21.111111111111114</v>
      </c>
      <c r="BU56" s="23">
        <f>BR56*100/BK56-100</f>
        <v>-1.3892529488859822</v>
      </c>
      <c r="BV56" s="23">
        <f t="shared" si="174"/>
        <v>19.269841269841265</v>
      </c>
      <c r="BW56" s="8"/>
      <c r="BX56" s="20">
        <v>96.5</v>
      </c>
      <c r="BY56" s="10">
        <f>28905/BX56</f>
        <v>299.53367875647666</v>
      </c>
      <c r="BZ56" s="11">
        <v>28875</v>
      </c>
      <c r="CA56" s="23">
        <f t="shared" si="175"/>
        <v>785.3211009174312</v>
      </c>
      <c r="CB56" s="23">
        <f>BY56*100/BR56-100</f>
        <v>-13.213261604316969</v>
      </c>
      <c r="CC56" s="23">
        <f t="shared" si="176"/>
        <v>668.5653446899122</v>
      </c>
      <c r="CD56" s="8"/>
      <c r="CE56" s="20">
        <v>95.5</v>
      </c>
      <c r="CF56" s="10">
        <f>29250/CE56</f>
        <v>306.282722513089</v>
      </c>
      <c r="CG56" s="11">
        <v>29220</v>
      </c>
      <c r="CH56" s="23">
        <f t="shared" si="177"/>
        <v>-1.0362694300518172</v>
      </c>
      <c r="CI56" s="23">
        <f>CF56*100/BY56-100</f>
        <v>2.25318361014736</v>
      </c>
      <c r="CJ56" s="23">
        <f t="shared" si="178"/>
        <v>1.1948051948051983</v>
      </c>
      <c r="CK56" s="8"/>
      <c r="CL56" s="20">
        <v>102</v>
      </c>
      <c r="CM56" s="10">
        <f>32720/CL56</f>
        <v>320.7843137254902</v>
      </c>
      <c r="CN56" s="11">
        <v>32630</v>
      </c>
      <c r="CO56" s="23">
        <f t="shared" si="179"/>
        <v>6.806282722513089</v>
      </c>
      <c r="CP56" s="23">
        <f>CM56*100/CF56-100</f>
        <v>4.734707558236963</v>
      </c>
      <c r="CQ56" s="23">
        <f t="shared" si="180"/>
        <v>11.670088980150581</v>
      </c>
      <c r="CR56" s="8"/>
      <c r="CS56" s="20">
        <v>101</v>
      </c>
      <c r="CT56" s="10">
        <f>30420/CS56</f>
        <v>301.18811881188117</v>
      </c>
      <c r="CU56" s="11">
        <v>30330</v>
      </c>
      <c r="CV56" s="23">
        <f t="shared" si="181"/>
        <v>-0.9803921568627487</v>
      </c>
      <c r="CW56" s="23">
        <f>CT56*100/CM56-100</f>
        <v>-6.108838267689862</v>
      </c>
      <c r="CX56" s="23">
        <f t="shared" si="182"/>
        <v>-7.048728164266009</v>
      </c>
      <c r="CY56" s="8"/>
      <c r="CZ56" s="20">
        <v>14</v>
      </c>
      <c r="DA56" s="10">
        <f>4300/CZ56</f>
        <v>307.14285714285717</v>
      </c>
      <c r="DB56" s="11">
        <v>4210</v>
      </c>
      <c r="DC56" s="23">
        <f t="shared" si="183"/>
        <v>-86.13861386138613</v>
      </c>
      <c r="DD56" s="23">
        <f>DA56*100/CT56-100</f>
        <v>1.9770827463135277</v>
      </c>
      <c r="DE56" s="23">
        <f t="shared" si="184"/>
        <v>-86.11935377514013</v>
      </c>
      <c r="DF56" s="8"/>
      <c r="DG56" s="20">
        <v>6</v>
      </c>
      <c r="DH56" s="10">
        <f>1800/DG56</f>
        <v>300</v>
      </c>
      <c r="DI56" s="11">
        <v>1710</v>
      </c>
      <c r="DJ56" s="23">
        <f t="shared" si="185"/>
        <v>-57.142857142857146</v>
      </c>
      <c r="DK56" s="23">
        <f>DH56*100/DA56-100</f>
        <v>-2.3255813953488484</v>
      </c>
      <c r="DL56" s="23">
        <f t="shared" si="186"/>
        <v>-59.38242280285036</v>
      </c>
      <c r="DM56" s="8"/>
      <c r="DN56" s="20">
        <v>11</v>
      </c>
      <c r="DO56" s="10">
        <f>4050/DN56</f>
        <v>368.1818181818182</v>
      </c>
      <c r="DP56" s="11">
        <v>3960</v>
      </c>
      <c r="DQ56" s="23">
        <f t="shared" si="187"/>
        <v>83.33333333333334</v>
      </c>
      <c r="DR56" s="23">
        <f>DO56*100/DH56-100</f>
        <v>22.72727272727272</v>
      </c>
      <c r="DS56" s="23">
        <f t="shared" si="188"/>
        <v>131.57894736842104</v>
      </c>
      <c r="DT56" s="8"/>
      <c r="DU56" s="20">
        <v>12.2</v>
      </c>
      <c r="DV56" s="10">
        <f>4310/DU56</f>
        <v>353.27868852459017</v>
      </c>
      <c r="DW56" s="11">
        <v>4250</v>
      </c>
      <c r="DX56" s="23">
        <f t="shared" si="189"/>
        <v>10.909090909090907</v>
      </c>
      <c r="DY56" s="23">
        <f>DV56*100/DO56-100</f>
        <v>-4.047763610605145</v>
      </c>
      <c r="DZ56" s="23">
        <f t="shared" si="190"/>
        <v>7.323232323232318</v>
      </c>
      <c r="EA56" s="8"/>
      <c r="EB56" s="20">
        <v>10.2</v>
      </c>
      <c r="EC56" s="10">
        <f>3530/EB56</f>
        <v>346.07843137254906</v>
      </c>
      <c r="ED56" s="11">
        <v>3470</v>
      </c>
      <c r="EE56" s="23">
        <f t="shared" si="191"/>
        <v>-16.39344262295083</v>
      </c>
      <c r="EF56" s="23">
        <f>EC56*100/DV56-100</f>
        <v>-2.0381238342204426</v>
      </c>
      <c r="EG56" s="23">
        <f t="shared" si="192"/>
        <v>-18.352941176470594</v>
      </c>
      <c r="EH56" s="8"/>
      <c r="EI56" s="20">
        <v>8.5</v>
      </c>
      <c r="EJ56" s="10">
        <f>3405/EI56</f>
        <v>400.5882352941176</v>
      </c>
      <c r="EK56" s="11">
        <v>3360</v>
      </c>
      <c r="EL56" s="23">
        <f t="shared" si="193"/>
        <v>-16.666666666666657</v>
      </c>
      <c r="EM56" s="23">
        <f>EJ56*100/EC56-100</f>
        <v>15.750708215297422</v>
      </c>
      <c r="EN56" s="23">
        <f t="shared" si="194"/>
        <v>-3.170028818443811</v>
      </c>
      <c r="EO56" s="8"/>
      <c r="EP56" s="20">
        <v>24.4</v>
      </c>
      <c r="EQ56" s="10">
        <f>8540/EP56</f>
        <v>350</v>
      </c>
      <c r="ER56" s="11">
        <v>8495</v>
      </c>
      <c r="ES56" s="23">
        <f t="shared" si="195"/>
        <v>187.05882352941177</v>
      </c>
      <c r="ET56" s="23">
        <f>EQ56*100/EJ56-100</f>
        <v>-12.628487518355357</v>
      </c>
      <c r="EU56" s="23">
        <f t="shared" si="196"/>
        <v>152.82738095238096</v>
      </c>
      <c r="EV56" s="8"/>
      <c r="EW56" s="22">
        <v>27.28</v>
      </c>
      <c r="EX56" s="10">
        <f t="shared" si="265"/>
        <v>426.50293255131965</v>
      </c>
      <c r="EY56" s="11">
        <v>11635</v>
      </c>
      <c r="EZ56" s="11">
        <v>11590</v>
      </c>
      <c r="FA56" s="23">
        <f t="shared" si="198"/>
        <v>11.8032786885246</v>
      </c>
      <c r="FB56" s="23">
        <f>EX56*100/EQ56-100</f>
        <v>21.857980728948476</v>
      </c>
      <c r="FC56" s="23">
        <f t="shared" si="199"/>
        <v>36.43319599764567</v>
      </c>
      <c r="FD56" s="8"/>
      <c r="FE56" s="22">
        <v>37.29</v>
      </c>
      <c r="FF56" s="10">
        <f t="shared" si="229"/>
        <v>312.68436578171094</v>
      </c>
      <c r="FG56" s="11">
        <v>11660</v>
      </c>
      <c r="FH56" s="11">
        <v>11615</v>
      </c>
      <c r="FI56" s="23">
        <f t="shared" si="266"/>
        <v>36.69354838709677</v>
      </c>
      <c r="FJ56" s="23">
        <f t="shared" si="271"/>
        <v>-26.6864675674682</v>
      </c>
      <c r="FK56" s="23">
        <f t="shared" si="271"/>
        <v>0.2148689299527291</v>
      </c>
      <c r="FL56" s="23">
        <f t="shared" si="267"/>
        <v>0.215703192407247</v>
      </c>
      <c r="FM56" s="23"/>
      <c r="FN56" s="22">
        <v>30.8</v>
      </c>
      <c r="FO56" s="10">
        <f t="shared" si="220"/>
        <v>393.5064935064935</v>
      </c>
      <c r="FP56" s="11">
        <v>12120</v>
      </c>
      <c r="FQ56" s="11">
        <v>12090</v>
      </c>
      <c r="FR56" s="23">
        <f t="shared" si="272"/>
        <v>-17.40412979351032</v>
      </c>
      <c r="FS56" s="23">
        <f t="shared" si="272"/>
        <v>25.847831413869145</v>
      </c>
      <c r="FT56" s="23">
        <f t="shared" si="53"/>
        <v>3.945111492281299</v>
      </c>
      <c r="FU56" s="23">
        <f t="shared" si="53"/>
        <v>4.089539388721477</v>
      </c>
      <c r="FV56" s="23"/>
      <c r="FW56" s="22">
        <v>28.25</v>
      </c>
      <c r="FX56" s="10">
        <f>FY56/FW56</f>
        <v>352.21238938053096</v>
      </c>
      <c r="FY56" s="20">
        <v>9950</v>
      </c>
      <c r="FZ56" s="20">
        <v>9920</v>
      </c>
      <c r="GA56" s="23">
        <f t="shared" si="273"/>
        <v>-8.279220779220779</v>
      </c>
      <c r="GB56" s="23">
        <f t="shared" si="273"/>
        <v>-10.493881246531728</v>
      </c>
      <c r="GC56" s="23">
        <f t="shared" si="273"/>
        <v>-17.904290429042902</v>
      </c>
      <c r="GD56" s="23">
        <f t="shared" si="273"/>
        <v>-17.948717948717942</v>
      </c>
      <c r="GE56" s="23"/>
      <c r="GF56" s="22">
        <v>36.6</v>
      </c>
      <c r="GG56" s="10">
        <f>GH56/GF56</f>
        <v>312.02185792349724</v>
      </c>
      <c r="GH56" s="20">
        <v>11420</v>
      </c>
      <c r="GI56" s="20">
        <v>11390</v>
      </c>
      <c r="GJ56" s="23">
        <f t="shared" si="274"/>
        <v>29.55752212389382</v>
      </c>
      <c r="GK56" s="23">
        <f t="shared" si="274"/>
        <v>-11.410879534283453</v>
      </c>
      <c r="GL56" s="23">
        <f t="shared" si="57"/>
        <v>14.773869346733662</v>
      </c>
      <c r="GM56" s="23">
        <f t="shared" si="57"/>
        <v>14.818548387096769</v>
      </c>
      <c r="GN56" s="23"/>
      <c r="GO56" s="22">
        <v>34.7</v>
      </c>
      <c r="GP56" s="10">
        <f>GQ56/GO56</f>
        <v>325.9365994236311</v>
      </c>
      <c r="GQ56" s="20">
        <v>11310</v>
      </c>
      <c r="GR56" s="20">
        <v>11270</v>
      </c>
      <c r="GS56" s="23">
        <f t="shared" si="275"/>
        <v>-5.191256830601091</v>
      </c>
      <c r="GT56" s="23">
        <f t="shared" si="275"/>
        <v>4.45954062088353</v>
      </c>
      <c r="GU56" s="23">
        <f t="shared" si="59"/>
        <v>-0.9632224168126129</v>
      </c>
      <c r="GV56" s="23">
        <f t="shared" si="60"/>
        <v>-1.0535557506584752</v>
      </c>
      <c r="GW56" s="23"/>
      <c r="GX56" s="22">
        <v>31.5</v>
      </c>
      <c r="GY56" s="10">
        <f>GZ56/GX56</f>
        <v>288.8888888888889</v>
      </c>
      <c r="GZ56" s="20">
        <v>9100</v>
      </c>
      <c r="HA56" s="20">
        <v>9070</v>
      </c>
      <c r="HB56" s="23">
        <f t="shared" si="210"/>
        <v>-9.221902017291072</v>
      </c>
      <c r="HC56" s="23">
        <f>GY56*100/GP56-100</f>
        <v>-11.366538952745842</v>
      </c>
      <c r="HD56" s="23">
        <f t="shared" si="62"/>
        <v>-19.54022988505747</v>
      </c>
      <c r="HE56" s="23">
        <f t="shared" si="63"/>
        <v>-19.52085181898846</v>
      </c>
      <c r="HF56" s="23"/>
      <c r="HG56" s="22">
        <v>26.6</v>
      </c>
      <c r="HH56" s="10">
        <f>HI56/HG56</f>
        <v>304.5112781954887</v>
      </c>
      <c r="HI56" s="20">
        <v>8100</v>
      </c>
      <c r="HJ56" s="20">
        <v>8070</v>
      </c>
      <c r="HK56" s="23">
        <f t="shared" si="211"/>
        <v>-15.555555555555557</v>
      </c>
      <c r="HL56" s="23">
        <f>HH56*100/GY56-100</f>
        <v>5.407750144592242</v>
      </c>
      <c r="HM56" s="23">
        <f t="shared" si="105"/>
        <v>-10.989010989010993</v>
      </c>
      <c r="HN56" s="23">
        <f t="shared" si="106"/>
        <v>-11.025358324145529</v>
      </c>
      <c r="HO56" s="23"/>
      <c r="HP56" s="20">
        <v>18</v>
      </c>
      <c r="HQ56" s="10">
        <f>HR56/HP56</f>
        <v>211.11111111111111</v>
      </c>
      <c r="HR56" s="20">
        <v>3800</v>
      </c>
      <c r="HS56" s="20">
        <v>3770</v>
      </c>
      <c r="HT56" s="23">
        <f t="shared" si="212"/>
        <v>-32.330827067669176</v>
      </c>
      <c r="HU56" s="23">
        <f>HQ56*100/HH56-100</f>
        <v>-30.672153635116587</v>
      </c>
      <c r="HV56" s="23">
        <f t="shared" si="64"/>
        <v>-53.08641975308642</v>
      </c>
      <c r="HW56" s="23">
        <f t="shared" si="65"/>
        <v>-53.28376703841388</v>
      </c>
      <c r="HX56" s="23"/>
      <c r="HY56" s="20"/>
      <c r="HZ56" s="10" t="e">
        <f>IA56/HY56</f>
        <v>#DIV/0!</v>
      </c>
      <c r="IA56" s="20"/>
      <c r="IB56" s="20"/>
      <c r="IC56" s="23">
        <f t="shared" si="268"/>
        <v>-100</v>
      </c>
      <c r="ID56" s="23" t="e">
        <f>HZ56*100/HQ56-100</f>
        <v>#DIV/0!</v>
      </c>
      <c r="IE56" s="23">
        <f t="shared" si="269"/>
        <v>-100</v>
      </c>
      <c r="IF56" s="23">
        <f t="shared" si="270"/>
        <v>-100</v>
      </c>
      <c r="IG56" s="23"/>
      <c r="IH56" s="1" t="s">
        <v>52</v>
      </c>
      <c r="II56" s="29">
        <f t="shared" si="223"/>
        <v>28.592000000000002</v>
      </c>
      <c r="IJ56" s="30">
        <f t="shared" si="224"/>
        <v>346.68530409456787</v>
      </c>
      <c r="IK56" s="29">
        <f t="shared" si="225"/>
        <v>9687</v>
      </c>
      <c r="IL56" s="25">
        <f t="shared" si="226"/>
        <v>-37.04532736429771</v>
      </c>
      <c r="IM56" s="25">
        <f t="shared" si="227"/>
        <v>-39.10583788301427</v>
      </c>
      <c r="IN56" s="25">
        <f t="shared" si="228"/>
        <v>-61.08186228966656</v>
      </c>
      <c r="IP56" s="30">
        <f>HP56*100/Italia!BR56</f>
        <v>0.9042908601313231</v>
      </c>
      <c r="IQ56" s="30">
        <f>HR56*100/Italia!BT56</f>
        <v>0.4509315296072149</v>
      </c>
      <c r="IR56" s="30">
        <f>HS56*100/Italia!BU56</f>
        <v>0.49085282097152405</v>
      </c>
    </row>
    <row r="57" spans="1:252" ht="12">
      <c r="A57" s="1" t="s">
        <v>53</v>
      </c>
      <c r="B57" s="20">
        <f>B56+B55</f>
        <v>4299.4</v>
      </c>
      <c r="C57" s="10" t="s">
        <v>1</v>
      </c>
      <c r="D57" s="11">
        <f>D56+D55</f>
        <v>1853455</v>
      </c>
      <c r="E57" s="9"/>
      <c r="F57" s="20">
        <f>F55+F56</f>
        <v>4319.92</v>
      </c>
      <c r="G57" s="10" t="s">
        <v>1</v>
      </c>
      <c r="H57" s="11">
        <f>H56+H55</f>
        <v>1549708</v>
      </c>
      <c r="I57" s="23">
        <f t="shared" si="214"/>
        <v>0.47727589896265954</v>
      </c>
      <c r="J57" s="24" t="s">
        <v>1</v>
      </c>
      <c r="K57" s="23">
        <f t="shared" si="215"/>
        <v>-16.3881507778716</v>
      </c>
      <c r="L57" s="8"/>
      <c r="M57" s="20">
        <f>M55+M56</f>
        <v>4541.8</v>
      </c>
      <c r="N57" s="10" t="s">
        <v>1</v>
      </c>
      <c r="O57" s="11">
        <f>O56+O55</f>
        <v>1992760</v>
      </c>
      <c r="P57" s="23">
        <f t="shared" si="216"/>
        <v>5.1362062260412245</v>
      </c>
      <c r="Q57" s="24" t="s">
        <v>1</v>
      </c>
      <c r="R57" s="23">
        <f t="shared" si="217"/>
        <v>28.589385871402868</v>
      </c>
      <c r="S57" s="8"/>
      <c r="T57" s="20">
        <f>T55+T56</f>
        <v>4482</v>
      </c>
      <c r="U57" s="10" t="s">
        <v>1</v>
      </c>
      <c r="V57" s="11">
        <f>V56+V55</f>
        <v>2089700</v>
      </c>
      <c r="W57" s="23">
        <f t="shared" si="161"/>
        <v>-1.3166585935091888</v>
      </c>
      <c r="X57" s="24" t="s">
        <v>1</v>
      </c>
      <c r="Y57" s="23">
        <f t="shared" si="162"/>
        <v>4.864609887793819</v>
      </c>
      <c r="Z57" s="8"/>
      <c r="AA57" s="20">
        <f>AA55+AA56</f>
        <v>5570</v>
      </c>
      <c r="AB57" s="10" t="s">
        <v>1</v>
      </c>
      <c r="AC57" s="11">
        <f>AC56+AC55</f>
        <v>1993700</v>
      </c>
      <c r="AD57" s="23">
        <f t="shared" si="163"/>
        <v>24.274877286925474</v>
      </c>
      <c r="AE57" s="24" t="s">
        <v>1</v>
      </c>
      <c r="AF57" s="23">
        <f t="shared" si="164"/>
        <v>-4.5939608556252125</v>
      </c>
      <c r="AG57" s="8"/>
      <c r="AH57" s="20">
        <f>AH55+AH56</f>
        <v>5709</v>
      </c>
      <c r="AI57" s="10" t="s">
        <v>1</v>
      </c>
      <c r="AJ57" s="11">
        <f>AJ56+AJ55</f>
        <v>2452000</v>
      </c>
      <c r="AK57" s="23">
        <f t="shared" si="165"/>
        <v>2.4955116696588817</v>
      </c>
      <c r="AL57" s="24" t="s">
        <v>1</v>
      </c>
      <c r="AM57" s="23">
        <f t="shared" si="166"/>
        <v>22.987410342579125</v>
      </c>
      <c r="AN57" s="8"/>
      <c r="AO57" s="20">
        <f>AO55+AO56</f>
        <v>5646</v>
      </c>
      <c r="AP57" s="10" t="s">
        <v>1</v>
      </c>
      <c r="AQ57" s="11">
        <f>AQ56+AQ55</f>
        <v>2152500</v>
      </c>
      <c r="AR57" s="23">
        <f t="shared" si="167"/>
        <v>-1.1035207566999503</v>
      </c>
      <c r="AS57" s="24" t="s">
        <v>1</v>
      </c>
      <c r="AT57" s="23">
        <f t="shared" si="168"/>
        <v>-12.214518760195759</v>
      </c>
      <c r="AU57" s="8"/>
      <c r="AV57" s="20">
        <f>AV55+AV56</f>
        <v>6070</v>
      </c>
      <c r="AW57" s="10" t="s">
        <v>1</v>
      </c>
      <c r="AX57" s="11">
        <f>AX56+AX55</f>
        <v>2578393</v>
      </c>
      <c r="AY57" s="23">
        <f t="shared" si="169"/>
        <v>7.509741409847678</v>
      </c>
      <c r="AZ57" s="24" t="s">
        <v>1</v>
      </c>
      <c r="BA57" s="23">
        <f t="shared" si="170"/>
        <v>19.785969802555172</v>
      </c>
      <c r="BB57" s="8"/>
      <c r="BC57" s="20">
        <f>BC55+BC56</f>
        <v>5552</v>
      </c>
      <c r="BD57" s="10" t="s">
        <v>1</v>
      </c>
      <c r="BE57" s="11">
        <f>BE56+BE55</f>
        <v>2719257</v>
      </c>
      <c r="BF57" s="23">
        <f t="shared" si="171"/>
        <v>-8.533772652388791</v>
      </c>
      <c r="BG57" s="24" t="s">
        <v>1</v>
      </c>
      <c r="BH57" s="23">
        <f t="shared" si="172"/>
        <v>5.463247844684659</v>
      </c>
      <c r="BI57" s="8"/>
      <c r="BJ57" s="20">
        <f>BJ55+BJ56</f>
        <v>3354</v>
      </c>
      <c r="BK57" s="10" t="s">
        <v>1</v>
      </c>
      <c r="BL57" s="11">
        <f>BL56+BL55</f>
        <v>1237993</v>
      </c>
      <c r="BM57" s="23">
        <f t="shared" si="218"/>
        <v>-39.58933717579251</v>
      </c>
      <c r="BN57" s="24" t="s">
        <v>1</v>
      </c>
      <c r="BO57" s="23">
        <f t="shared" si="173"/>
        <v>-54.47311526641285</v>
      </c>
      <c r="BP57" s="8"/>
      <c r="BQ57" s="20">
        <f>BQ55+BQ56</f>
        <v>3206.9</v>
      </c>
      <c r="BR57" s="10" t="s">
        <v>1</v>
      </c>
      <c r="BS57" s="11">
        <f>BS56+BS55</f>
        <v>1121626</v>
      </c>
      <c r="BT57" s="23">
        <f t="shared" si="219"/>
        <v>-4.385807990459156</v>
      </c>
      <c r="BU57" s="24" t="s">
        <v>1</v>
      </c>
      <c r="BV57" s="23">
        <f t="shared" si="174"/>
        <v>-9.399649271037887</v>
      </c>
      <c r="BW57" s="8"/>
      <c r="BX57" s="20">
        <f>BX55+BX56</f>
        <v>2773.5</v>
      </c>
      <c r="BY57" s="10" t="s">
        <v>1</v>
      </c>
      <c r="BZ57" s="11">
        <f>BZ56+BZ55</f>
        <v>1103416</v>
      </c>
      <c r="CA57" s="23">
        <f t="shared" si="175"/>
        <v>-13.514609124076216</v>
      </c>
      <c r="CB57" s="24" t="s">
        <v>1</v>
      </c>
      <c r="CC57" s="23">
        <f t="shared" si="176"/>
        <v>-1.6235358310167527</v>
      </c>
      <c r="CD57" s="8"/>
      <c r="CE57" s="20">
        <f>CE55+CE56</f>
        <v>2225.5</v>
      </c>
      <c r="CF57" s="10" t="s">
        <v>1</v>
      </c>
      <c r="CG57" s="11">
        <f>CG56+CG55</f>
        <v>788347</v>
      </c>
      <c r="CH57" s="23">
        <f t="shared" si="177"/>
        <v>-19.7584279790878</v>
      </c>
      <c r="CI57" s="24" t="s">
        <v>1</v>
      </c>
      <c r="CJ57" s="23">
        <f t="shared" si="178"/>
        <v>-28.553963328427358</v>
      </c>
      <c r="CK57" s="8"/>
      <c r="CL57" s="20">
        <f>CL55+CL56</f>
        <v>2361</v>
      </c>
      <c r="CM57" s="10" t="s">
        <v>1</v>
      </c>
      <c r="CN57" s="11">
        <f>CN56+CN55</f>
        <v>1094627</v>
      </c>
      <c r="CO57" s="23">
        <f t="shared" si="179"/>
        <v>6.0885194338350885</v>
      </c>
      <c r="CP57" s="24" t="s">
        <v>1</v>
      </c>
      <c r="CQ57" s="23">
        <f t="shared" si="180"/>
        <v>38.85091209835264</v>
      </c>
      <c r="CR57" s="8"/>
      <c r="CS57" s="20">
        <f>CS55+CS56</f>
        <v>2449</v>
      </c>
      <c r="CT57" s="10" t="s">
        <v>1</v>
      </c>
      <c r="CU57" s="11">
        <f>CU56+CU55</f>
        <v>1002105</v>
      </c>
      <c r="CV57" s="23">
        <f t="shared" si="181"/>
        <v>3.7272342227869615</v>
      </c>
      <c r="CW57" s="24" t="s">
        <v>1</v>
      </c>
      <c r="CX57" s="23">
        <f t="shared" si="182"/>
        <v>-8.452376928396617</v>
      </c>
      <c r="CY57" s="8"/>
      <c r="CZ57" s="20">
        <f>CZ55+CZ56</f>
        <v>2187</v>
      </c>
      <c r="DA57" s="10" t="s">
        <v>1</v>
      </c>
      <c r="DB57" s="11">
        <f>DB56+DB55</f>
        <v>909950</v>
      </c>
      <c r="DC57" s="23">
        <f t="shared" si="183"/>
        <v>-10.698244181298492</v>
      </c>
      <c r="DD57" s="24" t="s">
        <v>1</v>
      </c>
      <c r="DE57" s="23">
        <f t="shared" si="184"/>
        <v>-9.196142120835646</v>
      </c>
      <c r="DF57" s="8"/>
      <c r="DG57" s="20">
        <f>DG55+DG56</f>
        <v>1844</v>
      </c>
      <c r="DH57" s="10" t="s">
        <v>1</v>
      </c>
      <c r="DI57" s="11">
        <f>DI56+DI55</f>
        <v>880480</v>
      </c>
      <c r="DJ57" s="23">
        <f t="shared" si="185"/>
        <v>-15.683584819387292</v>
      </c>
      <c r="DK57" s="24" t="s">
        <v>1</v>
      </c>
      <c r="DL57" s="23">
        <f t="shared" si="186"/>
        <v>-3.238639485686022</v>
      </c>
      <c r="DM57" s="8"/>
      <c r="DN57" s="20">
        <f>DN55+DN56</f>
        <v>2052</v>
      </c>
      <c r="DO57" s="10" t="s">
        <v>1</v>
      </c>
      <c r="DP57" s="11">
        <f>DP56+DP55</f>
        <v>938400</v>
      </c>
      <c r="DQ57" s="23">
        <f t="shared" si="187"/>
        <v>11.279826464208242</v>
      </c>
      <c r="DR57" s="24" t="s">
        <v>1</v>
      </c>
      <c r="DS57" s="23">
        <f t="shared" si="188"/>
        <v>6.578230056332913</v>
      </c>
      <c r="DT57" s="8"/>
      <c r="DU57" s="20">
        <f>DU55+DU56</f>
        <v>1737.2</v>
      </c>
      <c r="DV57" s="10" t="s">
        <v>1</v>
      </c>
      <c r="DW57" s="11">
        <f>DW56+DW55</f>
        <v>798800</v>
      </c>
      <c r="DX57" s="23">
        <f t="shared" si="189"/>
        <v>-15.341130604288495</v>
      </c>
      <c r="DY57" s="24" t="s">
        <v>1</v>
      </c>
      <c r="DZ57" s="23">
        <f t="shared" si="190"/>
        <v>-14.876385336743397</v>
      </c>
      <c r="EA57" s="8"/>
      <c r="EB57" s="20">
        <f>EB55+EB56</f>
        <v>1798.2</v>
      </c>
      <c r="EC57" s="10" t="s">
        <v>1</v>
      </c>
      <c r="ED57" s="11">
        <f>ED56+ED55</f>
        <v>843800</v>
      </c>
      <c r="EE57" s="23">
        <f t="shared" si="191"/>
        <v>3.5113976513930396</v>
      </c>
      <c r="EF57" s="24" t="s">
        <v>1</v>
      </c>
      <c r="EG57" s="23">
        <f t="shared" si="192"/>
        <v>5.633450175262894</v>
      </c>
      <c r="EH57" s="8"/>
      <c r="EI57" s="20">
        <f>EI55+EI56</f>
        <v>1569.5</v>
      </c>
      <c r="EJ57" s="10" t="s">
        <v>1</v>
      </c>
      <c r="EK57" s="11">
        <f>EK56+EK55</f>
        <v>667788</v>
      </c>
      <c r="EL57" s="23">
        <f t="shared" si="193"/>
        <v>-12.718273829384941</v>
      </c>
      <c r="EM57" s="24" t="s">
        <v>1</v>
      </c>
      <c r="EN57" s="23">
        <f t="shared" si="194"/>
        <v>-20.859445366200518</v>
      </c>
      <c r="EO57" s="8"/>
      <c r="EP57" s="20">
        <f>EP55+EP56</f>
        <v>1599.4</v>
      </c>
      <c r="EQ57" s="10" t="s">
        <v>1</v>
      </c>
      <c r="ER57" s="11">
        <f>ER56+ER55</f>
        <v>726255</v>
      </c>
      <c r="ES57" s="23">
        <f t="shared" si="195"/>
        <v>1.9050653074227455</v>
      </c>
      <c r="ET57" s="24" t="s">
        <v>1</v>
      </c>
      <c r="EU57" s="23">
        <f t="shared" si="196"/>
        <v>8.755323545795974</v>
      </c>
      <c r="EV57" s="8"/>
      <c r="EW57" s="20">
        <f>EW55+EW56</f>
        <v>1562.28</v>
      </c>
      <c r="EX57" s="10">
        <f t="shared" si="265"/>
        <v>442.15825588242825</v>
      </c>
      <c r="EY57" s="11">
        <f>EY56+EY55</f>
        <v>690775</v>
      </c>
      <c r="EZ57" s="11">
        <f>EZ56+EZ55</f>
        <v>684282</v>
      </c>
      <c r="FA57" s="23">
        <f t="shared" si="198"/>
        <v>-2.3208703263724004</v>
      </c>
      <c r="FB57" s="24" t="s">
        <v>1</v>
      </c>
      <c r="FC57" s="23">
        <f t="shared" si="199"/>
        <v>-5.779375012908687</v>
      </c>
      <c r="FD57" s="8"/>
      <c r="FE57" s="9">
        <f>FE55+FE56</f>
        <v>1492.29</v>
      </c>
      <c r="FF57" s="10">
        <f t="shared" si="229"/>
        <v>380.10708374377634</v>
      </c>
      <c r="FG57" s="9">
        <f>FG56+FG55</f>
        <v>567230</v>
      </c>
      <c r="FH57" s="9">
        <f>FH56+FH55</f>
        <v>562505</v>
      </c>
      <c r="FI57" s="23">
        <f t="shared" si="266"/>
        <v>-4.4799907827022025</v>
      </c>
      <c r="FJ57" s="23">
        <f t="shared" si="271"/>
        <v>-14.033702031598295</v>
      </c>
      <c r="FK57" s="23">
        <f t="shared" si="271"/>
        <v>-17.884984256813</v>
      </c>
      <c r="FL57" s="23">
        <f t="shared" si="267"/>
        <v>-17.796317892330933</v>
      </c>
      <c r="FM57" s="23"/>
      <c r="FN57" s="20">
        <f>FN55+FN56</f>
        <v>1600.8</v>
      </c>
      <c r="FO57" s="10" t="s">
        <v>1</v>
      </c>
      <c r="FP57" s="19">
        <f>FP55+FP56</f>
        <v>774320</v>
      </c>
      <c r="FQ57" s="11">
        <f>FQ56+FQ55</f>
        <v>768890</v>
      </c>
      <c r="FR57" s="23">
        <f t="shared" si="272"/>
        <v>7.271374866815435</v>
      </c>
      <c r="FS57" s="24" t="s">
        <v>1</v>
      </c>
      <c r="FT57" s="23">
        <f t="shared" si="53"/>
        <v>36.508999876593265</v>
      </c>
      <c r="FU57" s="23">
        <f t="shared" si="53"/>
        <v>36.6903405303064</v>
      </c>
      <c r="FV57" s="23"/>
      <c r="FW57" s="20">
        <f>FW55+FW56</f>
        <v>1696.25</v>
      </c>
      <c r="FX57" s="10" t="s">
        <v>1</v>
      </c>
      <c r="FY57" s="20">
        <f>FY55+FY56</f>
        <v>660930</v>
      </c>
      <c r="FZ57" s="20">
        <f>FZ55+FZ56</f>
        <v>655380</v>
      </c>
      <c r="GA57" s="24" t="s">
        <v>1</v>
      </c>
      <c r="GB57" s="24" t="s">
        <v>1</v>
      </c>
      <c r="GC57" s="24" t="s">
        <v>1</v>
      </c>
      <c r="GD57" s="24" t="s">
        <v>1</v>
      </c>
      <c r="GE57" s="23"/>
      <c r="GF57" s="20">
        <f>GF55+GF56</f>
        <v>1735.6</v>
      </c>
      <c r="GG57" s="10" t="s">
        <v>1</v>
      </c>
      <c r="GH57" s="20">
        <f>GH55+GH56</f>
        <v>707070</v>
      </c>
      <c r="GI57" s="20">
        <f>GI55+GI56</f>
        <v>698530</v>
      </c>
      <c r="GJ57" s="23">
        <f>GF57*100/FW57-100</f>
        <v>2.3198231392778155</v>
      </c>
      <c r="GK57" s="24" t="s">
        <v>1</v>
      </c>
      <c r="GL57" s="23">
        <f t="shared" si="57"/>
        <v>6.981072125641148</v>
      </c>
      <c r="GM57" s="23">
        <f t="shared" si="57"/>
        <v>6.583966553755076</v>
      </c>
      <c r="GN57" s="23"/>
      <c r="GO57" s="20">
        <f>GO55+GO56</f>
        <v>1684.7</v>
      </c>
      <c r="GP57" s="10" t="s">
        <v>1</v>
      </c>
      <c r="GQ57" s="20">
        <f>GQ55+GQ56</f>
        <v>698940</v>
      </c>
      <c r="GR57" s="20">
        <f>GR55+GR56</f>
        <v>694100</v>
      </c>
      <c r="GS57" s="23">
        <f>GO57*100/GF57-100</f>
        <v>-2.932703387877382</v>
      </c>
      <c r="GT57" s="24" t="s">
        <v>1</v>
      </c>
      <c r="GU57" s="23">
        <f t="shared" si="59"/>
        <v>-1.1498154355297174</v>
      </c>
      <c r="GV57" s="23">
        <f t="shared" si="60"/>
        <v>-0.6341889396303628</v>
      </c>
      <c r="GW57" s="23"/>
      <c r="GX57" s="20">
        <f>GX55+GX56</f>
        <v>1487.5</v>
      </c>
      <c r="GY57" s="10" t="s">
        <v>1</v>
      </c>
      <c r="GZ57" s="20">
        <f>GZ55+GZ56</f>
        <v>558570</v>
      </c>
      <c r="HA57" s="20">
        <f>HA55+HA56</f>
        <v>519540</v>
      </c>
      <c r="HB57" s="23">
        <f>GX57*100/GO57-100</f>
        <v>-11.705348133198797</v>
      </c>
      <c r="HC57" s="24" t="s">
        <v>1</v>
      </c>
      <c r="HD57" s="23">
        <f t="shared" si="62"/>
        <v>-20.083268950124477</v>
      </c>
      <c r="HE57" s="23">
        <f t="shared" si="63"/>
        <v>-25.149113960524417</v>
      </c>
      <c r="HF57" s="23"/>
      <c r="HG57" s="20">
        <f>HG55+HG56</f>
        <v>1314.6</v>
      </c>
      <c r="HH57" s="10" t="s">
        <v>1</v>
      </c>
      <c r="HI57" s="20">
        <f>HI55+HI56</f>
        <v>518070</v>
      </c>
      <c r="HJ57" s="20">
        <f>HJ55+HJ56</f>
        <v>490290</v>
      </c>
      <c r="HK57" s="23">
        <f>HG57*100/GX57-100</f>
        <v>-11.623529411764707</v>
      </c>
      <c r="HL57" s="24" t="s">
        <v>1</v>
      </c>
      <c r="HM57" s="23">
        <f t="shared" si="105"/>
        <v>-7.2506579300714264</v>
      </c>
      <c r="HN57" s="23">
        <f t="shared" si="106"/>
        <v>-5.629980367247953</v>
      </c>
      <c r="HO57" s="23"/>
      <c r="HP57" s="20">
        <f>HP55+HP56</f>
        <v>1185</v>
      </c>
      <c r="HQ57" s="10" t="s">
        <v>1</v>
      </c>
      <c r="HR57" s="20">
        <f>HR55+HR56</f>
        <v>455665</v>
      </c>
      <c r="HS57" s="20">
        <f>HS55+HS56</f>
        <v>433435</v>
      </c>
      <c r="HT57" s="23">
        <f>HP57*100/HG57-100</f>
        <v>-9.858512094933815</v>
      </c>
      <c r="HU57" s="24" t="s">
        <v>1</v>
      </c>
      <c r="HV57" s="23">
        <f t="shared" si="64"/>
        <v>-12.045669504121065</v>
      </c>
      <c r="HW57" s="23">
        <f t="shared" si="65"/>
        <v>-11.59619816843093</v>
      </c>
      <c r="HX57" s="23"/>
      <c r="HY57" s="20">
        <f>HY55+HY56</f>
        <v>0</v>
      </c>
      <c r="HZ57" s="10" t="s">
        <v>1</v>
      </c>
      <c r="IA57" s="20">
        <f>IA55+IA56</f>
        <v>0</v>
      </c>
      <c r="IB57" s="20">
        <f>IB55+IB56</f>
        <v>0</v>
      </c>
      <c r="IC57" s="23">
        <f aca="true" t="shared" si="276" ref="IC57:IC62">HY57*100/HP57-100</f>
        <v>-100</v>
      </c>
      <c r="ID57" s="24" t="s">
        <v>1</v>
      </c>
      <c r="IE57" s="23">
        <f t="shared" si="269"/>
        <v>-100</v>
      </c>
      <c r="IF57" s="23">
        <f t="shared" si="270"/>
        <v>-100</v>
      </c>
      <c r="IG57" s="23"/>
      <c r="IH57" s="1" t="s">
        <v>53</v>
      </c>
      <c r="II57" s="29">
        <f t="shared" si="223"/>
        <v>1574.2920000000001</v>
      </c>
      <c r="IJ57" s="30">
        <f t="shared" si="224"/>
        <v>411.1326698131023</v>
      </c>
      <c r="IK57" s="29">
        <f t="shared" si="225"/>
        <v>646756</v>
      </c>
      <c r="IL57" s="25">
        <f t="shared" si="226"/>
        <v>-24.728068236388168</v>
      </c>
      <c r="IM57" s="25">
        <f t="shared" si="227"/>
        <v>-100</v>
      </c>
      <c r="IN57" s="25">
        <f t="shared" si="228"/>
        <v>-32.98322705935469</v>
      </c>
      <c r="IP57" s="30">
        <f>HP57*100/Italia!BR57</f>
        <v>10.232709958369709</v>
      </c>
      <c r="IQ57" s="30">
        <f>HR57*100/Italia!BT57</f>
        <v>8.796619923432447</v>
      </c>
      <c r="IR57" s="30">
        <f>HS57*100/Italia!BU57</f>
        <v>8.764531386176454</v>
      </c>
    </row>
    <row r="58" spans="1:252" ht="12">
      <c r="A58" s="1" t="s">
        <v>54</v>
      </c>
      <c r="B58" s="20">
        <v>3337</v>
      </c>
      <c r="C58" s="10">
        <v>80.6</v>
      </c>
      <c r="D58" s="11">
        <v>268800</v>
      </c>
      <c r="E58" s="9"/>
      <c r="F58" s="20">
        <v>3455</v>
      </c>
      <c r="G58" s="10">
        <f>H58/F58</f>
        <v>89.37771345875542</v>
      </c>
      <c r="H58" s="11">
        <v>308800</v>
      </c>
      <c r="I58" s="23">
        <f t="shared" si="214"/>
        <v>3.5361102786934424</v>
      </c>
      <c r="J58" s="23">
        <f>G58*100/C58-100</f>
        <v>10.890463348331807</v>
      </c>
      <c r="K58" s="23">
        <f t="shared" si="215"/>
        <v>14.88095238095238</v>
      </c>
      <c r="L58" s="8"/>
      <c r="M58" s="20">
        <v>3145</v>
      </c>
      <c r="N58" s="10">
        <f>O58/M58</f>
        <v>91.19236883942766</v>
      </c>
      <c r="O58" s="11">
        <v>286800</v>
      </c>
      <c r="P58" s="23">
        <f t="shared" si="216"/>
        <v>-8.972503617945009</v>
      </c>
      <c r="Q58" s="23">
        <f aca="true" t="shared" si="277" ref="Q58:Q66">N58*100/G58-100</f>
        <v>2.0303220013674093</v>
      </c>
      <c r="R58" s="23">
        <f t="shared" si="217"/>
        <v>-7.124352331606218</v>
      </c>
      <c r="S58" s="8"/>
      <c r="T58" s="20">
        <v>2984</v>
      </c>
      <c r="U58" s="10">
        <v>89.4</v>
      </c>
      <c r="V58" s="11">
        <v>266600</v>
      </c>
      <c r="W58" s="23">
        <f t="shared" si="161"/>
        <v>-5.1192368839427616</v>
      </c>
      <c r="X58" s="23">
        <f aca="true" t="shared" si="278" ref="X58:X66">U58*100/N58-100</f>
        <v>-1.965481171548106</v>
      </c>
      <c r="Y58" s="23">
        <f t="shared" si="162"/>
        <v>-7.043235704323564</v>
      </c>
      <c r="Z58" s="8"/>
      <c r="AA58" s="20">
        <v>3451</v>
      </c>
      <c r="AB58" s="10">
        <v>83.9</v>
      </c>
      <c r="AC58" s="11">
        <v>281100</v>
      </c>
      <c r="AD58" s="23">
        <f t="shared" si="163"/>
        <v>15.650134048257371</v>
      </c>
      <c r="AE58" s="23">
        <f aca="true" t="shared" si="279" ref="AE58:AE66">AB58*100/U58-100</f>
        <v>-6.152125279642064</v>
      </c>
      <c r="AF58" s="23">
        <f t="shared" si="164"/>
        <v>5.438859714928739</v>
      </c>
      <c r="AG58" s="8"/>
      <c r="AH58" s="20">
        <v>3297</v>
      </c>
      <c r="AI58" s="10">
        <v>89.7</v>
      </c>
      <c r="AJ58" s="11">
        <v>278300</v>
      </c>
      <c r="AK58" s="23">
        <f t="shared" si="165"/>
        <v>-4.462474645030426</v>
      </c>
      <c r="AL58" s="23">
        <f aca="true" t="shared" si="280" ref="AL58:AL66">AI58*100/AB58-100</f>
        <v>6.9129916567342065</v>
      </c>
      <c r="AM58" s="23">
        <f t="shared" si="166"/>
        <v>-0.9960868018498701</v>
      </c>
      <c r="AN58" s="8"/>
      <c r="AO58" s="20">
        <v>3187</v>
      </c>
      <c r="AP58" s="10">
        <v>88</v>
      </c>
      <c r="AQ58" s="11">
        <v>258800</v>
      </c>
      <c r="AR58" s="23">
        <f t="shared" si="167"/>
        <v>-3.336366393691236</v>
      </c>
      <c r="AS58" s="23">
        <f aca="true" t="shared" si="281" ref="AS58:AS66">AP58*100/AI58-100</f>
        <v>-1.8952062430323338</v>
      </c>
      <c r="AT58" s="23">
        <f t="shared" si="168"/>
        <v>-7.0068271649299305</v>
      </c>
      <c r="AU58" s="8"/>
      <c r="AV58" s="20">
        <v>3270</v>
      </c>
      <c r="AW58" s="10">
        <v>90.7</v>
      </c>
      <c r="AX58" s="11">
        <v>280778</v>
      </c>
      <c r="AY58" s="23">
        <f t="shared" si="169"/>
        <v>2.604330090994665</v>
      </c>
      <c r="AZ58" s="23">
        <f aca="true" t="shared" si="282" ref="AZ58:AZ66">AW58*100/AP58-100</f>
        <v>3.068181818181813</v>
      </c>
      <c r="BA58" s="23">
        <f t="shared" si="170"/>
        <v>8.492272024729516</v>
      </c>
      <c r="BB58" s="8"/>
      <c r="BC58" s="20">
        <v>3628</v>
      </c>
      <c r="BD58" s="10">
        <v>76.1</v>
      </c>
      <c r="BE58" s="11">
        <v>264264</v>
      </c>
      <c r="BF58" s="23">
        <f t="shared" si="171"/>
        <v>10.948012232415905</v>
      </c>
      <c r="BG58" s="23">
        <f aca="true" t="shared" si="283" ref="BG58:BG66">BD58*100/AW58-100</f>
        <v>-16.097023153252493</v>
      </c>
      <c r="BH58" s="23">
        <f t="shared" si="172"/>
        <v>-5.881514933506182</v>
      </c>
      <c r="BI58" s="8"/>
      <c r="BJ58" s="20">
        <v>2899</v>
      </c>
      <c r="BK58" s="10">
        <v>80.55</v>
      </c>
      <c r="BL58" s="11">
        <v>216944</v>
      </c>
      <c r="BM58" s="23">
        <f t="shared" si="218"/>
        <v>-20.09371554575523</v>
      </c>
      <c r="BN58" s="23">
        <f aca="true" t="shared" si="284" ref="BN58:BN66">BK58*100/BD58-100</f>
        <v>5.847568988173464</v>
      </c>
      <c r="BO58" s="23">
        <f t="shared" si="173"/>
        <v>-17.906336088154276</v>
      </c>
      <c r="BP58" s="8"/>
      <c r="BQ58" s="20">
        <v>2596</v>
      </c>
      <c r="BR58" s="10">
        <v>86.1</v>
      </c>
      <c r="BS58" s="11">
        <v>198482</v>
      </c>
      <c r="BT58" s="23">
        <f t="shared" si="219"/>
        <v>-10.451879958606412</v>
      </c>
      <c r="BU58" s="23">
        <f aca="true" t="shared" si="285" ref="BU58:BU66">BR58*100/BK58-100</f>
        <v>6.890130353817511</v>
      </c>
      <c r="BV58" s="23">
        <f t="shared" si="174"/>
        <v>-8.510030238218164</v>
      </c>
      <c r="BW58" s="8"/>
      <c r="BX58" s="20">
        <v>2556</v>
      </c>
      <c r="BY58" s="10">
        <v>84.8</v>
      </c>
      <c r="BZ58" s="11">
        <v>210402</v>
      </c>
      <c r="CA58" s="23">
        <f t="shared" si="175"/>
        <v>-1.5408320493066299</v>
      </c>
      <c r="CB58" s="23">
        <f aca="true" t="shared" si="286" ref="CB58:CB66">BY58*100/BR58-100</f>
        <v>-1.5098722415795578</v>
      </c>
      <c r="CC58" s="23">
        <f t="shared" si="176"/>
        <v>6.005582370189742</v>
      </c>
      <c r="CD58" s="8"/>
      <c r="CE58" s="20">
        <v>2599</v>
      </c>
      <c r="CF58" s="10">
        <v>85.3</v>
      </c>
      <c r="CG58" s="11">
        <v>217129</v>
      </c>
      <c r="CH58" s="23">
        <f t="shared" si="177"/>
        <v>1.6823161189358302</v>
      </c>
      <c r="CI58" s="23">
        <f aca="true" t="shared" si="287" ref="CI58:CI66">CF58*100/BY58-100</f>
        <v>0.5896226415094361</v>
      </c>
      <c r="CJ58" s="23">
        <f t="shared" si="178"/>
        <v>3.19721295424948</v>
      </c>
      <c r="CK58" s="8"/>
      <c r="CL58" s="20">
        <v>2620</v>
      </c>
      <c r="CM58" s="10">
        <v>89.5</v>
      </c>
      <c r="CN58" s="11">
        <v>232289</v>
      </c>
      <c r="CO58" s="23">
        <f t="shared" si="179"/>
        <v>0.8080030781069638</v>
      </c>
      <c r="CP58" s="23">
        <f aca="true" t="shared" si="288" ref="CP58:CP66">CM58*100/CF58-100</f>
        <v>4.92379835873389</v>
      </c>
      <c r="CQ58" s="23">
        <f t="shared" si="180"/>
        <v>6.982024510774707</v>
      </c>
      <c r="CR58" s="8"/>
      <c r="CS58" s="20">
        <v>3039</v>
      </c>
      <c r="CT58" s="10">
        <v>90.4</v>
      </c>
      <c r="CU58" s="11">
        <v>271482</v>
      </c>
      <c r="CV58" s="23">
        <f t="shared" si="181"/>
        <v>15.992366412213741</v>
      </c>
      <c r="CW58" s="23">
        <f aca="true" t="shared" si="289" ref="CW58:CW66">CT58*100/CM58-100</f>
        <v>1.0055865921787728</v>
      </c>
      <c r="CX58" s="23">
        <f t="shared" si="182"/>
        <v>16.87251656341884</v>
      </c>
      <c r="CY58" s="8"/>
      <c r="CZ58" s="20">
        <v>3162</v>
      </c>
      <c r="DA58" s="10">
        <v>94.4</v>
      </c>
      <c r="DB58" s="11">
        <v>298498</v>
      </c>
      <c r="DC58" s="23">
        <f t="shared" si="183"/>
        <v>4.047384007897335</v>
      </c>
      <c r="DD58" s="23">
        <f aca="true" t="shared" si="290" ref="DD58:DD66">DA58*100/CT58-100</f>
        <v>4.424778761061944</v>
      </c>
      <c r="DE58" s="23">
        <f t="shared" si="184"/>
        <v>9.951304322201835</v>
      </c>
      <c r="DF58" s="8"/>
      <c r="DG58" s="20">
        <v>3568</v>
      </c>
      <c r="DH58" s="10">
        <f>DI58/DG58</f>
        <v>85.47309417040358</v>
      </c>
      <c r="DI58" s="11">
        <v>304968</v>
      </c>
      <c r="DJ58" s="23">
        <f t="shared" si="185"/>
        <v>12.839974699557246</v>
      </c>
      <c r="DK58" s="23">
        <f aca="true" t="shared" si="291" ref="DK58:DK66">DH58*100/DA58-100</f>
        <v>-9.456468039826717</v>
      </c>
      <c r="DL58" s="23">
        <f t="shared" si="186"/>
        <v>2.167518710343117</v>
      </c>
      <c r="DM58" s="8"/>
      <c r="DN58" s="20">
        <v>3767</v>
      </c>
      <c r="DO58" s="10">
        <v>89</v>
      </c>
      <c r="DP58" s="11">
        <v>333220</v>
      </c>
      <c r="DQ58" s="23">
        <f t="shared" si="187"/>
        <v>5.577354260089692</v>
      </c>
      <c r="DR58" s="23">
        <f aca="true" t="shared" si="292" ref="DR58:DR66">DO58*100/DH58-100</f>
        <v>4.126334566249582</v>
      </c>
      <c r="DS58" s="23">
        <f t="shared" si="188"/>
        <v>9.263922772225285</v>
      </c>
      <c r="DT58" s="8"/>
      <c r="DU58" s="20">
        <v>4305</v>
      </c>
      <c r="DV58" s="10">
        <v>69.5</v>
      </c>
      <c r="DW58" s="11">
        <v>299382</v>
      </c>
      <c r="DX58" s="23">
        <f t="shared" si="189"/>
        <v>14.281921953809402</v>
      </c>
      <c r="DY58" s="23">
        <f aca="true" t="shared" si="293" ref="DY58:DY66">DV58*100/DO58-100</f>
        <v>-21.910112359550567</v>
      </c>
      <c r="DZ58" s="23">
        <f t="shared" si="190"/>
        <v>-10.15485264990096</v>
      </c>
      <c r="EA58" s="8"/>
      <c r="EB58" s="20">
        <v>4560</v>
      </c>
      <c r="EC58" s="10">
        <v>90</v>
      </c>
      <c r="ED58" s="11">
        <v>405273</v>
      </c>
      <c r="EE58" s="23">
        <f t="shared" si="191"/>
        <v>5.923344947735188</v>
      </c>
      <c r="EF58" s="23">
        <f aca="true" t="shared" si="294" ref="EF58:EF66">EC58*100/DV58-100</f>
        <v>29.496402877697847</v>
      </c>
      <c r="EG58" s="23">
        <f t="shared" si="192"/>
        <v>35.36986191554601</v>
      </c>
      <c r="EH58" s="8"/>
      <c r="EI58" s="20">
        <v>4508</v>
      </c>
      <c r="EJ58" s="10">
        <v>94</v>
      </c>
      <c r="EK58" s="11">
        <v>420700</v>
      </c>
      <c r="EL58" s="23">
        <f t="shared" si="193"/>
        <v>-1.1403508771929864</v>
      </c>
      <c r="EM58" s="23">
        <f aca="true" t="shared" si="295" ref="EM58:EM66">EJ58*100/EC58-100</f>
        <v>4.444444444444443</v>
      </c>
      <c r="EN58" s="23">
        <f t="shared" si="194"/>
        <v>3.806569892393526</v>
      </c>
      <c r="EO58" s="8"/>
      <c r="EP58" s="20">
        <v>4386</v>
      </c>
      <c r="EQ58" s="10">
        <v>92.4</v>
      </c>
      <c r="ER58" s="11">
        <v>384210</v>
      </c>
      <c r="ES58" s="23">
        <f t="shared" si="195"/>
        <v>-2.7062999112688573</v>
      </c>
      <c r="ET58" s="23">
        <f aca="true" t="shared" si="296" ref="ET58:ET66">EQ58*100/EJ58-100</f>
        <v>-1.7021276595744723</v>
      </c>
      <c r="EU58" s="23">
        <f t="shared" si="196"/>
        <v>-8.673639172807228</v>
      </c>
      <c r="EV58" s="8"/>
      <c r="EW58" s="20">
        <v>4402</v>
      </c>
      <c r="EX58" s="10">
        <f t="shared" si="265"/>
        <v>94.41617446615174</v>
      </c>
      <c r="EY58" s="11">
        <v>415620</v>
      </c>
      <c r="EZ58" s="11">
        <v>412036</v>
      </c>
      <c r="FA58" s="23">
        <f t="shared" si="198"/>
        <v>0.364797081623351</v>
      </c>
      <c r="FB58" s="23">
        <f aca="true" t="shared" si="297" ref="FB58:FB66">EX58*100/EQ58-100</f>
        <v>2.1820069979997214</v>
      </c>
      <c r="FC58" s="23">
        <f t="shared" si="199"/>
        <v>7.2423934827308045</v>
      </c>
      <c r="FD58" s="8"/>
      <c r="FE58" s="20">
        <v>4136</v>
      </c>
      <c r="FF58" s="10">
        <f t="shared" si="229"/>
        <v>92.28916827852998</v>
      </c>
      <c r="FG58" s="11">
        <v>381708</v>
      </c>
      <c r="FH58" s="11">
        <v>377718</v>
      </c>
      <c r="FI58" s="23">
        <f t="shared" si="266"/>
        <v>-6.042707860063601</v>
      </c>
      <c r="FJ58" s="23">
        <f t="shared" si="271"/>
        <v>-2.252798526998461</v>
      </c>
      <c r="FK58" s="23">
        <f t="shared" si="271"/>
        <v>-8.159376353399736</v>
      </c>
      <c r="FL58" s="23">
        <f t="shared" si="267"/>
        <v>-8.328883883932477</v>
      </c>
      <c r="FM58" s="23"/>
      <c r="FN58" s="20">
        <v>4424</v>
      </c>
      <c r="FO58" s="10">
        <f t="shared" si="220"/>
        <v>106.78820072332731</v>
      </c>
      <c r="FP58" s="11">
        <v>472431</v>
      </c>
      <c r="FQ58" s="11">
        <v>469234</v>
      </c>
      <c r="FR58" s="23">
        <f aca="true" t="shared" si="298" ref="FR58:FS67">FN58*100/FE58-100</f>
        <v>6.96324951644101</v>
      </c>
      <c r="FS58" s="23">
        <f t="shared" si="298"/>
        <v>15.710437871797737</v>
      </c>
      <c r="FT58" s="23">
        <f t="shared" si="53"/>
        <v>23.767644377377465</v>
      </c>
      <c r="FU58" s="23">
        <f t="shared" si="53"/>
        <v>24.22865735813491</v>
      </c>
      <c r="FV58" s="23"/>
      <c r="FW58" s="20">
        <v>3694</v>
      </c>
      <c r="FX58" s="10">
        <f>FY58/FW58</f>
        <v>99.0674066053059</v>
      </c>
      <c r="FY58" s="20">
        <v>365955</v>
      </c>
      <c r="FZ58" s="20">
        <v>362578</v>
      </c>
      <c r="GA58" s="23">
        <f aca="true" t="shared" si="299" ref="GA58:GD66">FW58*100/FN58-100</f>
        <v>-16.500904159132006</v>
      </c>
      <c r="GB58" s="23">
        <f t="shared" si="299"/>
        <v>-7.230006747678843</v>
      </c>
      <c r="GC58" s="23">
        <f t="shared" si="299"/>
        <v>-22.537894422677596</v>
      </c>
      <c r="GD58" s="23">
        <f t="shared" si="299"/>
        <v>-22.7298107127787</v>
      </c>
      <c r="GE58" s="23"/>
      <c r="GF58" s="20">
        <v>4677</v>
      </c>
      <c r="GG58" s="10">
        <f>GH58/GF58</f>
        <v>89.62369039982894</v>
      </c>
      <c r="GH58" s="20">
        <v>419170</v>
      </c>
      <c r="GI58" s="20">
        <v>413845</v>
      </c>
      <c r="GJ58" s="23">
        <f aca="true" t="shared" si="300" ref="GJ58:GK113">GF58*100/FW58-100</f>
        <v>26.61072008662697</v>
      </c>
      <c r="GK58" s="23">
        <f t="shared" si="300"/>
        <v>-9.532616759719616</v>
      </c>
      <c r="GL58" s="23">
        <f t="shared" si="57"/>
        <v>14.541405364047492</v>
      </c>
      <c r="GM58" s="23">
        <f t="shared" si="57"/>
        <v>14.139578242474727</v>
      </c>
      <c r="GN58" s="23"/>
      <c r="GO58" s="20">
        <v>4615</v>
      </c>
      <c r="GP58" s="10">
        <f>GQ58/GO58</f>
        <v>72.48104008667389</v>
      </c>
      <c r="GQ58" s="20">
        <v>334500</v>
      </c>
      <c r="GR58" s="20">
        <v>334500</v>
      </c>
      <c r="GS58" s="23">
        <f aca="true" t="shared" si="301" ref="GS58:GT113">GO58*100/GF58-100</f>
        <v>-1.3256360915116545</v>
      </c>
      <c r="GT58" s="23">
        <f t="shared" si="301"/>
        <v>-19.127364915100372</v>
      </c>
      <c r="GU58" s="23">
        <f t="shared" si="59"/>
        <v>-20.19944175394231</v>
      </c>
      <c r="GV58" s="23">
        <f t="shared" si="60"/>
        <v>-19.17263709843057</v>
      </c>
      <c r="GW58" s="23"/>
      <c r="GX58" s="20">
        <v>5050</v>
      </c>
      <c r="GY58" s="10">
        <f>GZ58/GX58</f>
        <v>71.55227722772277</v>
      </c>
      <c r="GZ58" s="20">
        <v>361339</v>
      </c>
      <c r="HA58" s="20">
        <v>361339</v>
      </c>
      <c r="HB58" s="23">
        <f aca="true" t="shared" si="302" ref="HB58:HB113">GX58*100/GO58-100</f>
        <v>9.425785482123516</v>
      </c>
      <c r="HC58" s="23">
        <f aca="true" t="shared" si="303" ref="HC58:HC66">GY58*100/GP58-100</f>
        <v>-1.2813873225887562</v>
      </c>
      <c r="HD58" s="23">
        <f t="shared" si="62"/>
        <v>8.023617339312409</v>
      </c>
      <c r="HE58" s="23">
        <f t="shared" si="63"/>
        <v>8.023617339312409</v>
      </c>
      <c r="HF58" s="23"/>
      <c r="HG58" s="20">
        <v>4306</v>
      </c>
      <c r="HH58" s="10">
        <f>HI58/HG58</f>
        <v>75.60357640501626</v>
      </c>
      <c r="HI58" s="20">
        <v>325549</v>
      </c>
      <c r="HJ58" s="20">
        <v>325549</v>
      </c>
      <c r="HK58" s="23">
        <f aca="true" t="shared" si="304" ref="HK58:HK113">HG58*100/GX58-100</f>
        <v>-14.732673267326732</v>
      </c>
      <c r="HL58" s="23">
        <f aca="true" t="shared" si="305" ref="HL58:HL66">HH58*100/GY58-100</f>
        <v>5.66201291455728</v>
      </c>
      <c r="HM58" s="23">
        <f t="shared" si="105"/>
        <v>-9.904826215825025</v>
      </c>
      <c r="HN58" s="23">
        <f t="shared" si="106"/>
        <v>-9.904826215825025</v>
      </c>
      <c r="HO58" s="23"/>
      <c r="HP58" s="20">
        <v>3862</v>
      </c>
      <c r="HQ58" s="10">
        <f>HR58/HP58</f>
        <v>67.1504401864319</v>
      </c>
      <c r="HR58" s="20">
        <v>259335</v>
      </c>
      <c r="HS58" s="20">
        <v>259335</v>
      </c>
      <c r="HT58" s="23">
        <f aca="true" t="shared" si="306" ref="HT58:HT115">HP58*100/HG58-100</f>
        <v>-10.311193683232702</v>
      </c>
      <c r="HU58" s="23">
        <f aca="true" t="shared" si="307" ref="HU58:HU66">HQ58*100/HH58-100</f>
        <v>-11.180868181817246</v>
      </c>
      <c r="HV58" s="23">
        <f t="shared" si="64"/>
        <v>-20.339180891355838</v>
      </c>
      <c r="HW58" s="23">
        <f t="shared" si="65"/>
        <v>-20.339180891355838</v>
      </c>
      <c r="HX58" s="23"/>
      <c r="HY58" s="20">
        <v>4907</v>
      </c>
      <c r="HZ58" s="10">
        <f>IA58/HY58</f>
        <v>69.50682698186264</v>
      </c>
      <c r="IA58" s="20">
        <v>341070</v>
      </c>
      <c r="IB58" s="20">
        <v>341070</v>
      </c>
      <c r="IC58" s="23">
        <f t="shared" si="276"/>
        <v>27.058518902123254</v>
      </c>
      <c r="ID58" s="23">
        <f>HZ58*100/HQ58-100</f>
        <v>3.5091159326560444</v>
      </c>
      <c r="IE58" s="23">
        <f t="shared" si="269"/>
        <v>31.51714963271445</v>
      </c>
      <c r="IF58" s="23">
        <f t="shared" si="270"/>
        <v>31.51714963271445</v>
      </c>
      <c r="IG58" s="23"/>
      <c r="IH58" s="1" t="s">
        <v>54</v>
      </c>
      <c r="II58" s="29">
        <f t="shared" si="223"/>
        <v>4419.8</v>
      </c>
      <c r="IJ58" s="30">
        <f t="shared" si="224"/>
        <v>88.82215341925568</v>
      </c>
      <c r="IK58" s="29">
        <f t="shared" si="225"/>
        <v>386170.9</v>
      </c>
      <c r="IL58" s="25">
        <f t="shared" si="226"/>
        <v>-12.620480564731437</v>
      </c>
      <c r="IM58" s="25">
        <f t="shared" si="227"/>
        <v>-24.39899551920297</v>
      </c>
      <c r="IN58" s="25">
        <f t="shared" si="228"/>
        <v>-32.84449967617964</v>
      </c>
      <c r="IP58" s="30">
        <f>HP58*100/Italia!BR58</f>
        <v>23.810110974106042</v>
      </c>
      <c r="IQ58" s="30">
        <f>HR58*100/Italia!BT58</f>
        <v>19.24728269945116</v>
      </c>
      <c r="IR58" s="30">
        <f>HS58*100/Italia!BU58</f>
        <v>20.09604193174932</v>
      </c>
    </row>
    <row r="59" spans="1:252" ht="12">
      <c r="A59" s="1" t="s">
        <v>55</v>
      </c>
      <c r="B59" s="22">
        <v>33.02</v>
      </c>
      <c r="C59" s="10">
        <v>150</v>
      </c>
      <c r="D59" s="11">
        <v>4952</v>
      </c>
      <c r="E59" s="9"/>
      <c r="F59" s="22">
        <v>37.03</v>
      </c>
      <c r="G59" s="10">
        <v>150</v>
      </c>
      <c r="H59" s="11">
        <v>5554</v>
      </c>
      <c r="I59" s="23">
        <f t="shared" si="214"/>
        <v>12.144155057540871</v>
      </c>
      <c r="J59" s="23">
        <f>G59*100/C59-100</f>
        <v>0</v>
      </c>
      <c r="K59" s="23">
        <f t="shared" si="215"/>
        <v>12.156704361873992</v>
      </c>
      <c r="L59" s="8"/>
      <c r="M59" s="22">
        <v>38.6</v>
      </c>
      <c r="N59" s="10">
        <f>O59/M59</f>
        <v>150.12953367875647</v>
      </c>
      <c r="O59" s="11">
        <v>5795</v>
      </c>
      <c r="P59" s="23">
        <f t="shared" si="216"/>
        <v>4.239805563056976</v>
      </c>
      <c r="Q59" s="23">
        <f t="shared" si="277"/>
        <v>0.0863557858376538</v>
      </c>
      <c r="R59" s="23">
        <f t="shared" si="217"/>
        <v>4.3392149801944555</v>
      </c>
      <c r="S59" s="8"/>
      <c r="T59" s="22">
        <v>13.9</v>
      </c>
      <c r="U59" s="10">
        <f>2091/T59</f>
        <v>150.431654676259</v>
      </c>
      <c r="V59" s="11">
        <v>2085</v>
      </c>
      <c r="W59" s="23">
        <f t="shared" si="161"/>
        <v>-63.98963730569948</v>
      </c>
      <c r="X59" s="23">
        <f t="shared" si="278"/>
        <v>0.2012402157652815</v>
      </c>
      <c r="Y59" s="23">
        <f t="shared" si="162"/>
        <v>-64.0207075064711</v>
      </c>
      <c r="Z59" s="8"/>
      <c r="AA59" s="22">
        <v>12.1</v>
      </c>
      <c r="AB59" s="10">
        <f>1849/AA59</f>
        <v>152.8099173553719</v>
      </c>
      <c r="AC59" s="11">
        <v>1837</v>
      </c>
      <c r="AD59" s="23">
        <f t="shared" si="163"/>
        <v>-12.949640287769782</v>
      </c>
      <c r="AE59" s="23">
        <f t="shared" si="279"/>
        <v>1.5809589306393832</v>
      </c>
      <c r="AF59" s="23">
        <f t="shared" si="164"/>
        <v>-11.894484412470021</v>
      </c>
      <c r="AG59" s="8"/>
      <c r="AH59" s="22">
        <v>15.36</v>
      </c>
      <c r="AI59" s="10">
        <f>2403/AH59</f>
        <v>156.4453125</v>
      </c>
      <c r="AJ59" s="11">
        <v>2399</v>
      </c>
      <c r="AK59" s="23">
        <f t="shared" si="165"/>
        <v>26.942148760330582</v>
      </c>
      <c r="AL59" s="23">
        <f t="shared" si="280"/>
        <v>2.379030895078415</v>
      </c>
      <c r="AM59" s="23">
        <f t="shared" si="166"/>
        <v>30.5933587370713</v>
      </c>
      <c r="AN59" s="8"/>
      <c r="AO59" s="22">
        <v>21.35</v>
      </c>
      <c r="AP59" s="10">
        <f>3448/AO59</f>
        <v>161.49882903981265</v>
      </c>
      <c r="AQ59" s="11">
        <v>3446</v>
      </c>
      <c r="AR59" s="23">
        <f t="shared" si="167"/>
        <v>38.99739583333334</v>
      </c>
      <c r="AS59" s="23">
        <f t="shared" si="281"/>
        <v>3.2302128194557724</v>
      </c>
      <c r="AT59" s="23">
        <f t="shared" si="168"/>
        <v>43.643184660275125</v>
      </c>
      <c r="AU59" s="8"/>
      <c r="AV59" s="22">
        <v>20.4</v>
      </c>
      <c r="AW59" s="10">
        <f>3056/AV59</f>
        <v>149.80392156862746</v>
      </c>
      <c r="AX59" s="11">
        <v>3054</v>
      </c>
      <c r="AY59" s="23">
        <f t="shared" si="169"/>
        <v>-4.449648711943809</v>
      </c>
      <c r="AZ59" s="23">
        <f t="shared" si="282"/>
        <v>-7.241481279286646</v>
      </c>
      <c r="BA59" s="23">
        <f t="shared" si="170"/>
        <v>-11.37550783517122</v>
      </c>
      <c r="BB59" s="8"/>
      <c r="BC59" s="22">
        <v>23.4</v>
      </c>
      <c r="BD59" s="10">
        <f>4256/BC59</f>
        <v>181.8803418803419</v>
      </c>
      <c r="BE59" s="11">
        <v>4254</v>
      </c>
      <c r="BF59" s="23">
        <f t="shared" si="171"/>
        <v>14.705882352941188</v>
      </c>
      <c r="BG59" s="23">
        <f t="shared" si="283"/>
        <v>21.412270103369565</v>
      </c>
      <c r="BH59" s="23">
        <f t="shared" si="172"/>
        <v>39.29273084479371</v>
      </c>
      <c r="BI59" s="8"/>
      <c r="BJ59" s="22">
        <v>20.6</v>
      </c>
      <c r="BK59" s="10">
        <f>3086/BJ59</f>
        <v>149.80582524271844</v>
      </c>
      <c r="BL59" s="11">
        <v>3084</v>
      </c>
      <c r="BM59" s="23">
        <f t="shared" si="218"/>
        <v>-11.965811965811966</v>
      </c>
      <c r="BN59" s="23">
        <f t="shared" si="284"/>
        <v>-17.634955106212146</v>
      </c>
      <c r="BO59" s="23">
        <f t="shared" si="173"/>
        <v>-27.50352609308885</v>
      </c>
      <c r="BP59" s="8"/>
      <c r="BQ59" s="22">
        <v>20.8</v>
      </c>
      <c r="BR59" s="10">
        <f>BS59/BQ59</f>
        <v>179.56730769230768</v>
      </c>
      <c r="BS59" s="11">
        <v>3735</v>
      </c>
      <c r="BT59" s="23">
        <f t="shared" si="219"/>
        <v>0.9708737864077648</v>
      </c>
      <c r="BU59" s="23">
        <f t="shared" si="285"/>
        <v>19.866705718131513</v>
      </c>
      <c r="BV59" s="23">
        <f t="shared" si="174"/>
        <v>21.108949416342412</v>
      </c>
      <c r="BW59" s="8"/>
      <c r="BX59" s="22">
        <v>16.15</v>
      </c>
      <c r="BY59" s="10">
        <v>193.6</v>
      </c>
      <c r="BZ59" s="11">
        <v>3133</v>
      </c>
      <c r="CA59" s="23">
        <f t="shared" si="175"/>
        <v>-22.35576923076924</v>
      </c>
      <c r="CB59" s="23">
        <f t="shared" si="286"/>
        <v>7.81472556894245</v>
      </c>
      <c r="CC59" s="23">
        <f t="shared" si="176"/>
        <v>-16.117804551539493</v>
      </c>
      <c r="CD59" s="8"/>
      <c r="CE59" s="22">
        <v>17</v>
      </c>
      <c r="CF59" s="10">
        <f>3307/CE59</f>
        <v>194.52941176470588</v>
      </c>
      <c r="CG59" s="11">
        <v>3307</v>
      </c>
      <c r="CH59" s="23">
        <f t="shared" si="177"/>
        <v>5.26315789473685</v>
      </c>
      <c r="CI59" s="23">
        <f t="shared" si="287"/>
        <v>0.48006806028196536</v>
      </c>
      <c r="CJ59" s="23">
        <f t="shared" si="178"/>
        <v>5.553782317267789</v>
      </c>
      <c r="CK59" s="8"/>
      <c r="CL59" s="22">
        <v>17.5</v>
      </c>
      <c r="CM59" s="10">
        <v>240</v>
      </c>
      <c r="CN59" s="11">
        <v>4187</v>
      </c>
      <c r="CO59" s="23">
        <f t="shared" si="179"/>
        <v>2.941176470588232</v>
      </c>
      <c r="CP59" s="23">
        <f t="shared" si="288"/>
        <v>23.3746598125189</v>
      </c>
      <c r="CQ59" s="23">
        <f t="shared" si="180"/>
        <v>26.610220743876624</v>
      </c>
      <c r="CR59" s="8"/>
      <c r="CS59" s="22">
        <v>18.7</v>
      </c>
      <c r="CT59" s="10">
        <f>4486/CS59</f>
        <v>239.89304812834226</v>
      </c>
      <c r="CU59" s="11">
        <v>4464</v>
      </c>
      <c r="CV59" s="23">
        <f t="shared" si="181"/>
        <v>6.857142857142861</v>
      </c>
      <c r="CW59" s="23">
        <f t="shared" si="289"/>
        <v>-0.044563279857385396</v>
      </c>
      <c r="CX59" s="23">
        <f t="shared" si="182"/>
        <v>6.615715309290664</v>
      </c>
      <c r="CY59" s="8"/>
      <c r="CZ59" s="22">
        <v>18.7</v>
      </c>
      <c r="DA59" s="10">
        <f>DB59/CZ59</f>
        <v>240.05347593582889</v>
      </c>
      <c r="DB59" s="11">
        <v>4489</v>
      </c>
      <c r="DC59" s="23">
        <f t="shared" si="183"/>
        <v>0</v>
      </c>
      <c r="DD59" s="23">
        <f t="shared" si="290"/>
        <v>0.06687472135533312</v>
      </c>
      <c r="DE59" s="23">
        <f t="shared" si="184"/>
        <v>0.5600358422939138</v>
      </c>
      <c r="DF59" s="8"/>
      <c r="DG59" s="22">
        <v>19.78</v>
      </c>
      <c r="DH59" s="10">
        <f>DI59/DG59</f>
        <v>265.015166835187</v>
      </c>
      <c r="DI59" s="11">
        <v>5242</v>
      </c>
      <c r="DJ59" s="23">
        <f t="shared" si="185"/>
        <v>5.775401069518722</v>
      </c>
      <c r="DK59" s="23">
        <f t="shared" si="291"/>
        <v>10.398387610113545</v>
      </c>
      <c r="DL59" s="23">
        <f t="shared" si="186"/>
        <v>16.774337268879478</v>
      </c>
      <c r="DM59" s="8"/>
      <c r="DN59" s="22">
        <v>18.08</v>
      </c>
      <c r="DO59" s="10">
        <f>DP59/DN59</f>
        <v>276.4380530973452</v>
      </c>
      <c r="DP59" s="11">
        <v>4998</v>
      </c>
      <c r="DQ59" s="23">
        <f t="shared" si="187"/>
        <v>-8.594539939332677</v>
      </c>
      <c r="DR59" s="23">
        <f t="shared" si="292"/>
        <v>4.310276426277923</v>
      </c>
      <c r="DS59" s="23">
        <f t="shared" si="188"/>
        <v>-4.65471194200687</v>
      </c>
      <c r="DT59" s="8"/>
      <c r="DU59" s="22">
        <v>18.58</v>
      </c>
      <c r="DV59" s="10">
        <f>DW59/DU59</f>
        <v>277.0721205597417</v>
      </c>
      <c r="DW59" s="11">
        <v>5148</v>
      </c>
      <c r="DX59" s="23">
        <f t="shared" si="189"/>
        <v>2.7654867256637203</v>
      </c>
      <c r="DY59" s="23">
        <f t="shared" si="293"/>
        <v>0.22937054261961975</v>
      </c>
      <c r="DZ59" s="23">
        <f t="shared" si="190"/>
        <v>3.0012004801920824</v>
      </c>
      <c r="EA59" s="8"/>
      <c r="EB59" s="22">
        <v>19.48</v>
      </c>
      <c r="EC59" s="10">
        <f>ED59/EB59</f>
        <v>297.1252566735113</v>
      </c>
      <c r="ED59" s="11">
        <v>5788</v>
      </c>
      <c r="EE59" s="23">
        <f t="shared" si="191"/>
        <v>4.8439181916038905</v>
      </c>
      <c r="EF59" s="23">
        <f t="shared" si="294"/>
        <v>7.237514937720263</v>
      </c>
      <c r="EG59" s="23">
        <f t="shared" si="192"/>
        <v>12.432012432012428</v>
      </c>
      <c r="EH59" s="8"/>
      <c r="EI59" s="22">
        <v>20.58</v>
      </c>
      <c r="EJ59" s="10">
        <f>EK59/EI59</f>
        <v>297.2789115646259</v>
      </c>
      <c r="EK59" s="11">
        <v>6118</v>
      </c>
      <c r="EL59" s="23">
        <f t="shared" si="193"/>
        <v>5.6468172484599535</v>
      </c>
      <c r="EM59" s="23">
        <f t="shared" si="295"/>
        <v>0.05171384379600852</v>
      </c>
      <c r="EN59" s="23">
        <f t="shared" si="194"/>
        <v>5.70145127850725</v>
      </c>
      <c r="EO59" s="8"/>
      <c r="EP59" s="22">
        <v>22.66</v>
      </c>
      <c r="EQ59" s="10">
        <f>ER59/EP59</f>
        <v>296.8225948808473</v>
      </c>
      <c r="ER59" s="11">
        <v>6726</v>
      </c>
      <c r="ES59" s="23">
        <f t="shared" si="195"/>
        <v>10.106899902818284</v>
      </c>
      <c r="ET59" s="23">
        <f t="shared" si="296"/>
        <v>-0.15349783184313992</v>
      </c>
      <c r="EU59" s="23">
        <f t="shared" si="196"/>
        <v>9.937888198757761</v>
      </c>
      <c r="EV59" s="8"/>
      <c r="EW59" s="22">
        <v>20.55</v>
      </c>
      <c r="EX59" s="10">
        <f t="shared" si="265"/>
        <v>297.2749391727494</v>
      </c>
      <c r="EY59" s="11">
        <v>6109</v>
      </c>
      <c r="EZ59" s="11">
        <v>6109</v>
      </c>
      <c r="FA59" s="23">
        <f t="shared" si="198"/>
        <v>-9.31156222418359</v>
      </c>
      <c r="FB59" s="23">
        <f t="shared" si="297"/>
        <v>0.15239550482458242</v>
      </c>
      <c r="FC59" s="23">
        <f t="shared" si="199"/>
        <v>-9.173357121617599</v>
      </c>
      <c r="FD59" s="8"/>
      <c r="FE59" s="22">
        <v>24.65</v>
      </c>
      <c r="FF59" s="10">
        <f t="shared" si="229"/>
        <v>277.2413793103448</v>
      </c>
      <c r="FG59" s="11">
        <v>6834</v>
      </c>
      <c r="FH59" s="11">
        <v>6834</v>
      </c>
      <c r="FI59" s="23">
        <f t="shared" si="266"/>
        <v>19.951338199513373</v>
      </c>
      <c r="FJ59" s="23">
        <f t="shared" si="271"/>
        <v>-6.739067853534351</v>
      </c>
      <c r="FK59" s="23">
        <f t="shared" si="271"/>
        <v>11.867736127025694</v>
      </c>
      <c r="FL59" s="23">
        <f t="shared" si="267"/>
        <v>11.867736127025694</v>
      </c>
      <c r="FM59" s="23"/>
      <c r="FN59" s="22">
        <v>26.45</v>
      </c>
      <c r="FO59" s="10">
        <f t="shared" si="220"/>
        <v>293.00567107750476</v>
      </c>
      <c r="FP59" s="11">
        <v>7750</v>
      </c>
      <c r="FQ59" s="11">
        <v>7750</v>
      </c>
      <c r="FR59" s="23">
        <f t="shared" si="298"/>
        <v>7.302231237322516</v>
      </c>
      <c r="FS59" s="23">
        <f t="shared" si="298"/>
        <v>5.686125139895992</v>
      </c>
      <c r="FT59" s="23">
        <f t="shared" si="53"/>
        <v>13.403570383377229</v>
      </c>
      <c r="FU59" s="23">
        <f t="shared" si="53"/>
        <v>13.403570383377229</v>
      </c>
      <c r="FV59" s="23"/>
      <c r="FW59" s="22">
        <v>25.53</v>
      </c>
      <c r="FX59" s="10">
        <f>FY59/FW59</f>
        <v>298.9815902859381</v>
      </c>
      <c r="FY59" s="20">
        <v>7633</v>
      </c>
      <c r="FZ59" s="20">
        <v>7633</v>
      </c>
      <c r="GA59" s="23">
        <f t="shared" si="299"/>
        <v>-3.4782608695652186</v>
      </c>
      <c r="GB59" s="23">
        <f t="shared" si="299"/>
        <v>2.0395233943620923</v>
      </c>
      <c r="GC59" s="23">
        <f t="shared" si="299"/>
        <v>-1.5096774193548441</v>
      </c>
      <c r="GD59" s="23">
        <f t="shared" si="299"/>
        <v>-1.5096774193548441</v>
      </c>
      <c r="GE59" s="23"/>
      <c r="GF59" s="22">
        <v>23.43</v>
      </c>
      <c r="GG59" s="10">
        <f>GH59/GF59</f>
        <v>300.7255655142979</v>
      </c>
      <c r="GH59" s="20">
        <v>7046</v>
      </c>
      <c r="GI59" s="20">
        <v>7046</v>
      </c>
      <c r="GJ59" s="23">
        <f t="shared" si="300"/>
        <v>-8.225616921269093</v>
      </c>
      <c r="GK59" s="23">
        <f t="shared" si="300"/>
        <v>0.5833052218004013</v>
      </c>
      <c r="GL59" s="23">
        <f t="shared" si="57"/>
        <v>-7.6902921524957435</v>
      </c>
      <c r="GM59" s="23">
        <f t="shared" si="57"/>
        <v>-7.6902921524957435</v>
      </c>
      <c r="GN59" s="23"/>
      <c r="GO59" s="22">
        <v>0.43</v>
      </c>
      <c r="GP59" s="10">
        <f>GQ59/GO59</f>
        <v>339.5348837209302</v>
      </c>
      <c r="GQ59" s="20">
        <v>146</v>
      </c>
      <c r="GR59" s="20">
        <v>146</v>
      </c>
      <c r="GS59" s="23">
        <f t="shared" si="301"/>
        <v>-98.16474605207</v>
      </c>
      <c r="GT59" s="23">
        <f t="shared" si="301"/>
        <v>12.905227442256532</v>
      </c>
      <c r="GU59" s="23">
        <f t="shared" si="59"/>
        <v>-97.92790235594664</v>
      </c>
      <c r="GV59" s="23">
        <f t="shared" si="60"/>
        <v>-97.92790235594664</v>
      </c>
      <c r="GW59" s="23"/>
      <c r="GX59" s="22">
        <v>0.32</v>
      </c>
      <c r="GY59" s="10">
        <f>GZ59/GX59</f>
        <v>387.5</v>
      </c>
      <c r="GZ59" s="20">
        <v>124</v>
      </c>
      <c r="HA59" s="20">
        <v>124</v>
      </c>
      <c r="HB59" s="23">
        <f t="shared" si="302"/>
        <v>-25.581395348837205</v>
      </c>
      <c r="HC59" s="23">
        <f t="shared" si="303"/>
        <v>14.126712328767127</v>
      </c>
      <c r="HD59" s="23">
        <f t="shared" si="62"/>
        <v>-15.06849315068493</v>
      </c>
      <c r="HE59" s="23">
        <f t="shared" si="63"/>
        <v>-15.06849315068493</v>
      </c>
      <c r="HF59" s="23"/>
      <c r="HG59" s="22">
        <v>8.42</v>
      </c>
      <c r="HH59" s="10">
        <f>HI59/HG59</f>
        <v>74.10926365795724</v>
      </c>
      <c r="HI59" s="20">
        <v>624</v>
      </c>
      <c r="HJ59" s="20">
        <v>624</v>
      </c>
      <c r="HK59" s="23">
        <f t="shared" si="304"/>
        <v>2531.25</v>
      </c>
      <c r="HL59" s="23">
        <f t="shared" si="305"/>
        <v>-80.87502873343038</v>
      </c>
      <c r="HM59" s="23">
        <f t="shared" si="105"/>
        <v>403.2258064516129</v>
      </c>
      <c r="HN59" s="23">
        <f t="shared" si="106"/>
        <v>403.2258064516129</v>
      </c>
      <c r="HO59" s="23"/>
      <c r="HP59" s="22">
        <v>8</v>
      </c>
      <c r="HQ59" s="10">
        <f>HR59/HP59</f>
        <v>80</v>
      </c>
      <c r="HR59" s="20">
        <v>640</v>
      </c>
      <c r="HS59" s="20">
        <v>640</v>
      </c>
      <c r="HT59" s="23">
        <f t="shared" si="306"/>
        <v>-4.988123515439426</v>
      </c>
      <c r="HU59" s="23">
        <f t="shared" si="307"/>
        <v>7.948717948717956</v>
      </c>
      <c r="HV59" s="23">
        <f t="shared" si="64"/>
        <v>2.564102564102569</v>
      </c>
      <c r="HW59" s="23">
        <f t="shared" si="65"/>
        <v>2.564102564102569</v>
      </c>
      <c r="HX59" s="23"/>
      <c r="HY59" s="22"/>
      <c r="HZ59" s="10" t="e">
        <f>IA59/HY59</f>
        <v>#DIV/0!</v>
      </c>
      <c r="IA59" s="20"/>
      <c r="IB59" s="20"/>
      <c r="IC59" s="23">
        <f t="shared" si="276"/>
        <v>-100</v>
      </c>
      <c r="ID59" s="23" t="e">
        <f>HZ59*100/HQ59-100</f>
        <v>#DIV/0!</v>
      </c>
      <c r="IE59" s="23">
        <f t="shared" si="269"/>
        <v>-100</v>
      </c>
      <c r="IF59" s="23">
        <f t="shared" si="270"/>
        <v>-100</v>
      </c>
      <c r="IG59" s="23"/>
      <c r="IH59" s="1" t="s">
        <v>55</v>
      </c>
      <c r="II59" s="29">
        <f t="shared" si="223"/>
        <v>17.302</v>
      </c>
      <c r="IJ59" s="30">
        <f t="shared" si="224"/>
        <v>286.2474799185196</v>
      </c>
      <c r="IK59" s="29">
        <f t="shared" si="225"/>
        <v>4911</v>
      </c>
      <c r="IL59" s="25">
        <f t="shared" si="226"/>
        <v>-53.76257080106346</v>
      </c>
      <c r="IM59" s="25">
        <f t="shared" si="227"/>
        <v>-72.05215570010537</v>
      </c>
      <c r="IN59" s="25">
        <f t="shared" si="228"/>
        <v>-86.96803095092649</v>
      </c>
      <c r="IP59" s="30">
        <f>HP59*100/Italia!BR59</f>
        <v>0.9536979638548472</v>
      </c>
      <c r="IQ59" s="30">
        <f>HR59*100/Italia!BT59</f>
        <v>0.31399792957615186</v>
      </c>
      <c r="IR59" s="30">
        <f>HS59*100/Italia!BU59</f>
        <v>0.3254463445764875</v>
      </c>
    </row>
    <row r="60" spans="1:252" ht="12">
      <c r="A60" s="1" t="s">
        <v>56</v>
      </c>
      <c r="B60" s="19">
        <f>B59+B58</f>
        <v>3370.02</v>
      </c>
      <c r="C60" s="6" t="s">
        <v>1</v>
      </c>
      <c r="D60" s="9">
        <f>D59+D58</f>
        <v>273752</v>
      </c>
      <c r="E60" s="9"/>
      <c r="F60" s="19">
        <f>F59+F58</f>
        <v>3492.03</v>
      </c>
      <c r="G60" s="6" t="s">
        <v>1</v>
      </c>
      <c r="H60" s="9">
        <f>H59+H58</f>
        <v>314354</v>
      </c>
      <c r="I60" s="23">
        <f t="shared" si="214"/>
        <v>3.620453291078391</v>
      </c>
      <c r="J60" s="24" t="s">
        <v>1</v>
      </c>
      <c r="K60" s="23">
        <f t="shared" si="215"/>
        <v>14.831672462666944</v>
      </c>
      <c r="L60" s="8"/>
      <c r="M60" s="19">
        <f>M58+M59</f>
        <v>3183.6</v>
      </c>
      <c r="N60" s="6" t="s">
        <v>1</v>
      </c>
      <c r="O60" s="9">
        <f>O59+O58</f>
        <v>292595</v>
      </c>
      <c r="P60" s="23">
        <f t="shared" si="216"/>
        <v>-8.832398347093246</v>
      </c>
      <c r="Q60" s="24" t="e">
        <f t="shared" si="277"/>
        <v>#DIV/0!</v>
      </c>
      <c r="R60" s="23">
        <f t="shared" si="217"/>
        <v>-6.921814260356157</v>
      </c>
      <c r="S60" s="8"/>
      <c r="T60" s="19">
        <f>T59+T58</f>
        <v>2997.9</v>
      </c>
      <c r="U60" s="6" t="s">
        <v>1</v>
      </c>
      <c r="V60" s="9">
        <f>V59+V58</f>
        <v>268685</v>
      </c>
      <c r="W60" s="23">
        <f t="shared" si="161"/>
        <v>-5.833019223520537</v>
      </c>
      <c r="X60" s="24" t="e">
        <f t="shared" si="278"/>
        <v>#DIV/0!</v>
      </c>
      <c r="Y60" s="23">
        <f t="shared" si="162"/>
        <v>-8.171704916351956</v>
      </c>
      <c r="Z60" s="8"/>
      <c r="AA60" s="19">
        <f>AA59+AA58</f>
        <v>3463.1</v>
      </c>
      <c r="AB60" s="6" t="s">
        <v>1</v>
      </c>
      <c r="AC60" s="9">
        <f>AC59+AC58</f>
        <v>282937</v>
      </c>
      <c r="AD60" s="23">
        <f t="shared" si="163"/>
        <v>15.517528936922503</v>
      </c>
      <c r="AE60" s="24" t="e">
        <f t="shared" si="279"/>
        <v>#DIV/0!</v>
      </c>
      <c r="AF60" s="23">
        <f t="shared" si="164"/>
        <v>5.30435268064835</v>
      </c>
      <c r="AG60" s="8"/>
      <c r="AH60" s="19">
        <f>AH58+AH59</f>
        <v>3312.36</v>
      </c>
      <c r="AI60" s="6" t="s">
        <v>1</v>
      </c>
      <c r="AJ60" s="9">
        <f>AJ59+AJ58</f>
        <v>280699</v>
      </c>
      <c r="AK60" s="23">
        <f t="shared" si="165"/>
        <v>-4.352747538332707</v>
      </c>
      <c r="AL60" s="24" t="e">
        <f t="shared" si="280"/>
        <v>#DIV/0!</v>
      </c>
      <c r="AM60" s="23">
        <f t="shared" si="166"/>
        <v>-0.7909888066954807</v>
      </c>
      <c r="AN60" s="8"/>
      <c r="AO60" s="19">
        <f>AO59+AO58</f>
        <v>3208.35</v>
      </c>
      <c r="AP60" s="6" t="s">
        <v>1</v>
      </c>
      <c r="AQ60" s="9">
        <f>AQ59+AQ58</f>
        <v>262246</v>
      </c>
      <c r="AR60" s="23">
        <f t="shared" si="167"/>
        <v>-3.140057240155059</v>
      </c>
      <c r="AS60" s="24" t="e">
        <f t="shared" si="281"/>
        <v>#DIV/0!</v>
      </c>
      <c r="AT60" s="23">
        <f t="shared" si="168"/>
        <v>-6.573945756842733</v>
      </c>
      <c r="AU60" s="8"/>
      <c r="AV60" s="19">
        <f>AV59+AV58</f>
        <v>3290.4</v>
      </c>
      <c r="AW60" s="6" t="s">
        <v>1</v>
      </c>
      <c r="AX60" s="9">
        <f>AX59+AX58</f>
        <v>283832</v>
      </c>
      <c r="AY60" s="23">
        <f t="shared" si="169"/>
        <v>2.557389312263311</v>
      </c>
      <c r="AZ60" s="24" t="e">
        <f t="shared" si="282"/>
        <v>#DIV/0!</v>
      </c>
      <c r="BA60" s="23">
        <f t="shared" si="170"/>
        <v>8.23120276381718</v>
      </c>
      <c r="BB60" s="8"/>
      <c r="BC60" s="19">
        <f>BC59+BC58</f>
        <v>3651.4</v>
      </c>
      <c r="BD60" s="6" t="s">
        <v>1</v>
      </c>
      <c r="BE60" s="9">
        <f>BE59+BE58</f>
        <v>268518</v>
      </c>
      <c r="BF60" s="23">
        <f t="shared" si="171"/>
        <v>10.971310478969116</v>
      </c>
      <c r="BG60" s="24" t="e">
        <f t="shared" si="283"/>
        <v>#DIV/0!</v>
      </c>
      <c r="BH60" s="23">
        <f t="shared" si="172"/>
        <v>-5.395445192931035</v>
      </c>
      <c r="BI60" s="8"/>
      <c r="BJ60" s="19">
        <f>BJ59+BJ58</f>
        <v>2919.6</v>
      </c>
      <c r="BK60" s="6" t="s">
        <v>57</v>
      </c>
      <c r="BL60" s="9">
        <f>BL59+BL58</f>
        <v>220028</v>
      </c>
      <c r="BM60" s="23">
        <f t="shared" si="218"/>
        <v>-20.041627868762674</v>
      </c>
      <c r="BN60" s="24" t="e">
        <f t="shared" si="284"/>
        <v>#DIV/0!</v>
      </c>
      <c r="BO60" s="23">
        <f t="shared" si="173"/>
        <v>-18.058379698940115</v>
      </c>
      <c r="BP60" s="8"/>
      <c r="BQ60" s="19">
        <f>BQ59+BQ58</f>
        <v>2616.8</v>
      </c>
      <c r="BR60" s="6" t="s">
        <v>1</v>
      </c>
      <c r="BS60" s="9">
        <f>BS59+BS58</f>
        <v>202217</v>
      </c>
      <c r="BT60" s="23">
        <f t="shared" si="219"/>
        <v>-10.371283737498274</v>
      </c>
      <c r="BU60" s="24" t="e">
        <f t="shared" si="285"/>
        <v>#DIV/0!</v>
      </c>
      <c r="BV60" s="23">
        <f t="shared" si="174"/>
        <v>-8.09487883360299</v>
      </c>
      <c r="BW60" s="8"/>
      <c r="BX60" s="19">
        <f>BX59+BX58</f>
        <v>2572.15</v>
      </c>
      <c r="BY60" s="6" t="s">
        <v>1</v>
      </c>
      <c r="BZ60" s="9">
        <f>BZ58+BZ59</f>
        <v>213535</v>
      </c>
      <c r="CA60" s="23">
        <f t="shared" si="175"/>
        <v>-1.7062824824212868</v>
      </c>
      <c r="CB60" s="24" t="e">
        <f t="shared" si="286"/>
        <v>#DIV/0!</v>
      </c>
      <c r="CC60" s="23">
        <f t="shared" si="176"/>
        <v>5.596957723633523</v>
      </c>
      <c r="CD60" s="8"/>
      <c r="CE60" s="19">
        <f>CE59+CE58</f>
        <v>2616</v>
      </c>
      <c r="CF60" s="6" t="s">
        <v>1</v>
      </c>
      <c r="CG60" s="9">
        <f>CG59+CG58</f>
        <v>220436</v>
      </c>
      <c r="CH60" s="23">
        <f t="shared" si="177"/>
        <v>1.7047994868106429</v>
      </c>
      <c r="CI60" s="24" t="e">
        <f t="shared" si="287"/>
        <v>#DIV/0!</v>
      </c>
      <c r="CJ60" s="23">
        <f t="shared" si="178"/>
        <v>3.2317886997447687</v>
      </c>
      <c r="CK60" s="8"/>
      <c r="CL60" s="19">
        <f>CL59+CL58</f>
        <v>2637.5</v>
      </c>
      <c r="CM60" s="6" t="s">
        <v>1</v>
      </c>
      <c r="CN60" s="9">
        <f>CN59+CN58</f>
        <v>236476</v>
      </c>
      <c r="CO60" s="23">
        <f t="shared" si="179"/>
        <v>0.8218654434250823</v>
      </c>
      <c r="CP60" s="24" t="e">
        <f t="shared" si="288"/>
        <v>#DIV/0!</v>
      </c>
      <c r="CQ60" s="23">
        <f t="shared" si="180"/>
        <v>7.276488413870695</v>
      </c>
      <c r="CR60" s="8"/>
      <c r="CS60" s="19">
        <f>CS59+CS58</f>
        <v>3057.7</v>
      </c>
      <c r="CT60" s="6" t="s">
        <v>1</v>
      </c>
      <c r="CU60" s="9">
        <f>CU59+CU58</f>
        <v>275946</v>
      </c>
      <c r="CV60" s="23">
        <f t="shared" si="181"/>
        <v>15.931753554502365</v>
      </c>
      <c r="CW60" s="24" t="e">
        <f t="shared" si="289"/>
        <v>#DIV/0!</v>
      </c>
      <c r="CX60" s="23">
        <f t="shared" si="182"/>
        <v>16.690911551277935</v>
      </c>
      <c r="CY60" s="8"/>
      <c r="CZ60" s="19">
        <f>CZ59+CZ58</f>
        <v>3180.7</v>
      </c>
      <c r="DA60" s="6" t="s">
        <v>1</v>
      </c>
      <c r="DB60" s="9">
        <f>DB59+DB58</f>
        <v>302987</v>
      </c>
      <c r="DC60" s="23">
        <f t="shared" si="183"/>
        <v>4.022631389606573</v>
      </c>
      <c r="DD60" s="24" t="e">
        <f t="shared" si="290"/>
        <v>#DIV/0!</v>
      </c>
      <c r="DE60" s="23">
        <f t="shared" si="184"/>
        <v>9.799381038319098</v>
      </c>
      <c r="DF60" s="8"/>
      <c r="DG60" s="19">
        <f>DG59+DG58</f>
        <v>3587.78</v>
      </c>
      <c r="DH60" s="6" t="s">
        <v>1</v>
      </c>
      <c r="DI60" s="9">
        <f>DI59+DI58</f>
        <v>310210</v>
      </c>
      <c r="DJ60" s="23">
        <f t="shared" si="185"/>
        <v>12.798440594837615</v>
      </c>
      <c r="DK60" s="24" t="e">
        <f t="shared" si="291"/>
        <v>#DIV/0!</v>
      </c>
      <c r="DL60" s="23">
        <f t="shared" si="186"/>
        <v>2.3839306636918423</v>
      </c>
      <c r="DM60" s="8"/>
      <c r="DN60" s="19">
        <f>DN59+DN58</f>
        <v>3785.08</v>
      </c>
      <c r="DO60" s="6" t="s">
        <v>1</v>
      </c>
      <c r="DP60" s="9">
        <f>DP59+DP58</f>
        <v>338218</v>
      </c>
      <c r="DQ60" s="23">
        <f t="shared" si="187"/>
        <v>5.499222360345385</v>
      </c>
      <c r="DR60" s="24" t="e">
        <f t="shared" si="292"/>
        <v>#DIV/0!</v>
      </c>
      <c r="DS60" s="23">
        <f t="shared" si="188"/>
        <v>9.028722478321143</v>
      </c>
      <c r="DT60" s="8"/>
      <c r="DU60" s="19">
        <f>DU59+DU58</f>
        <v>4323.58</v>
      </c>
      <c r="DV60" s="6" t="s">
        <v>1</v>
      </c>
      <c r="DW60" s="9">
        <f>DW59+DW58</f>
        <v>304530</v>
      </c>
      <c r="DX60" s="23">
        <f t="shared" si="189"/>
        <v>14.226911980724324</v>
      </c>
      <c r="DY60" s="24" t="e">
        <f t="shared" si="293"/>
        <v>#DIV/0!</v>
      </c>
      <c r="DZ60" s="23">
        <f t="shared" si="190"/>
        <v>-9.960439716395939</v>
      </c>
      <c r="EA60" s="8"/>
      <c r="EB60" s="19">
        <f>EB59+EB58</f>
        <v>4579.48</v>
      </c>
      <c r="EC60" s="6" t="s">
        <v>1</v>
      </c>
      <c r="ED60" s="9">
        <f>ED59+ED58</f>
        <v>411061</v>
      </c>
      <c r="EE60" s="23">
        <f t="shared" si="191"/>
        <v>5.9187062573145255</v>
      </c>
      <c r="EF60" s="24" t="e">
        <f t="shared" si="294"/>
        <v>#DIV/0!</v>
      </c>
      <c r="EG60" s="23">
        <f t="shared" si="192"/>
        <v>34.982103569434855</v>
      </c>
      <c r="EH60" s="8"/>
      <c r="EI60" s="19">
        <f>EI59+EI58</f>
        <v>4528.58</v>
      </c>
      <c r="EJ60" s="6" t="s">
        <v>1</v>
      </c>
      <c r="EK60" s="9">
        <f>EK59+EK58</f>
        <v>426818</v>
      </c>
      <c r="EL60" s="23">
        <f t="shared" si="193"/>
        <v>-1.1114799060155178</v>
      </c>
      <c r="EM60" s="24" t="e">
        <f t="shared" si="295"/>
        <v>#DIV/0!</v>
      </c>
      <c r="EN60" s="23">
        <f t="shared" si="194"/>
        <v>3.8332510260034383</v>
      </c>
      <c r="EO60" s="8"/>
      <c r="EP60" s="19">
        <f>EP59+EP58</f>
        <v>4408.66</v>
      </c>
      <c r="EQ60" s="6" t="s">
        <v>1</v>
      </c>
      <c r="ER60" s="9">
        <f>ER59+ER58</f>
        <v>390936</v>
      </c>
      <c r="ES60" s="23">
        <f t="shared" si="195"/>
        <v>-2.6480706976579853</v>
      </c>
      <c r="ET60" s="24" t="e">
        <f t="shared" si="296"/>
        <v>#DIV/0!</v>
      </c>
      <c r="EU60" s="23">
        <f t="shared" si="196"/>
        <v>-8.406861941155242</v>
      </c>
      <c r="EV60" s="8"/>
      <c r="EW60" s="19">
        <f>EW59+EW58</f>
        <v>4422.55</v>
      </c>
      <c r="EX60" s="10">
        <f t="shared" si="265"/>
        <v>95.35878622061932</v>
      </c>
      <c r="EY60" s="9">
        <f>EY59+EY58</f>
        <v>421729</v>
      </c>
      <c r="EZ60" s="9">
        <f>EZ59+EZ58</f>
        <v>418145</v>
      </c>
      <c r="FA60" s="23">
        <f t="shared" si="198"/>
        <v>0.31506171943402705</v>
      </c>
      <c r="FB60" s="24" t="s">
        <v>1</v>
      </c>
      <c r="FC60" s="23">
        <f t="shared" si="199"/>
        <v>6.9599627560521355</v>
      </c>
      <c r="FD60" s="8"/>
      <c r="FE60" s="19">
        <f>FE59+FE58</f>
        <v>4160.65</v>
      </c>
      <c r="FF60" s="10">
        <f t="shared" si="229"/>
        <v>93.3849278357949</v>
      </c>
      <c r="FG60" s="9">
        <f>FG59+FG58</f>
        <v>388542</v>
      </c>
      <c r="FH60" s="9">
        <f>FH59+FH58</f>
        <v>384552</v>
      </c>
      <c r="FI60" s="23">
        <f t="shared" si="266"/>
        <v>-5.9219228725509225</v>
      </c>
      <c r="FJ60" s="23">
        <f t="shared" si="271"/>
        <v>-2.069928176579097</v>
      </c>
      <c r="FK60" s="23">
        <f t="shared" si="271"/>
        <v>-7.869271498995801</v>
      </c>
      <c r="FL60" s="23">
        <f t="shared" si="267"/>
        <v>-8.033816020758351</v>
      </c>
      <c r="FM60" s="23"/>
      <c r="FN60" s="19">
        <f>FN59+FN58</f>
        <v>4450.45</v>
      </c>
      <c r="FO60" s="6" t="s">
        <v>1</v>
      </c>
      <c r="FP60" s="9">
        <f>FP59+FP58</f>
        <v>480181</v>
      </c>
      <c r="FQ60" s="9">
        <f>FQ59+FQ58</f>
        <v>476984</v>
      </c>
      <c r="FR60" s="23">
        <f t="shared" si="298"/>
        <v>6.9652578323098595</v>
      </c>
      <c r="FS60" s="23">
        <f t="shared" si="298"/>
        <v>-100</v>
      </c>
      <c r="FT60" s="23">
        <f t="shared" si="53"/>
        <v>23.585352420072994</v>
      </c>
      <c r="FU60" s="23">
        <f t="shared" si="53"/>
        <v>24.036281179138328</v>
      </c>
      <c r="FV60" s="23"/>
      <c r="FW60" s="19">
        <f>FW59+FW58</f>
        <v>3719.53</v>
      </c>
      <c r="FX60" s="6" t="s">
        <v>1</v>
      </c>
      <c r="FY60" s="19">
        <f>FY59+FY58</f>
        <v>373588</v>
      </c>
      <c r="FZ60" s="19">
        <f>FZ59+FZ58</f>
        <v>370211</v>
      </c>
      <c r="GA60" s="23">
        <f t="shared" si="299"/>
        <v>-16.423507735172848</v>
      </c>
      <c r="GB60" s="23" t="e">
        <f t="shared" si="299"/>
        <v>#DIV/0!</v>
      </c>
      <c r="GC60" s="23">
        <f t="shared" si="299"/>
        <v>-22.198504313998257</v>
      </c>
      <c r="GD60" s="23">
        <f t="shared" si="299"/>
        <v>-22.38502759002398</v>
      </c>
      <c r="GE60" s="23"/>
      <c r="GF60" s="19">
        <f>GF59+GF58</f>
        <v>4700.43</v>
      </c>
      <c r="GG60" s="6" t="s">
        <v>1</v>
      </c>
      <c r="GH60" s="19">
        <f>GH59+GH58</f>
        <v>426216</v>
      </c>
      <c r="GI60" s="19">
        <f>GI59+GI58</f>
        <v>420891</v>
      </c>
      <c r="GJ60" s="23">
        <f t="shared" si="300"/>
        <v>26.371611467040182</v>
      </c>
      <c r="GK60" s="23" t="e">
        <f t="shared" si="300"/>
        <v>#DIV/0!</v>
      </c>
      <c r="GL60" s="23">
        <f t="shared" si="57"/>
        <v>14.087176247631078</v>
      </c>
      <c r="GM60" s="23">
        <f t="shared" si="57"/>
        <v>13.689490587799924</v>
      </c>
      <c r="GN60" s="23"/>
      <c r="GO60" s="19">
        <f>GO59+GO58</f>
        <v>4615.43</v>
      </c>
      <c r="GP60" s="6" t="s">
        <v>1</v>
      </c>
      <c r="GQ60" s="19">
        <f>GQ59+GQ58</f>
        <v>334646</v>
      </c>
      <c r="GR60" s="19">
        <f>GR59+GR58</f>
        <v>334646</v>
      </c>
      <c r="GS60" s="23">
        <f t="shared" si="301"/>
        <v>-1.8083451939503448</v>
      </c>
      <c r="GT60" s="23" t="e">
        <f t="shared" si="301"/>
        <v>#DIV/0!</v>
      </c>
      <c r="GU60" s="23">
        <f t="shared" si="59"/>
        <v>-21.484411659815677</v>
      </c>
      <c r="GV60" s="23">
        <f t="shared" si="60"/>
        <v>-20.491053503163528</v>
      </c>
      <c r="GW60" s="23"/>
      <c r="GX60" s="19">
        <f>GX59+GX58</f>
        <v>5050.32</v>
      </c>
      <c r="GY60" s="6" t="s">
        <v>1</v>
      </c>
      <c r="GZ60" s="19">
        <f>GZ59+GZ58</f>
        <v>361463</v>
      </c>
      <c r="HA60" s="19">
        <f>HA59+HA58</f>
        <v>361463</v>
      </c>
      <c r="HB60" s="23">
        <f t="shared" si="302"/>
        <v>9.422524011847216</v>
      </c>
      <c r="HC60" s="23" t="e">
        <f t="shared" si="303"/>
        <v>#DIV/0!</v>
      </c>
      <c r="HD60" s="23">
        <f t="shared" si="62"/>
        <v>8.013542668969592</v>
      </c>
      <c r="HE60" s="23">
        <f t="shared" si="63"/>
        <v>8.013542668969592</v>
      </c>
      <c r="HF60" s="23"/>
      <c r="HG60" s="19">
        <f>HG59+HG58</f>
        <v>4314.42</v>
      </c>
      <c r="HH60" s="6" t="s">
        <v>1</v>
      </c>
      <c r="HI60" s="19">
        <f>HI59+HI58</f>
        <v>326173</v>
      </c>
      <c r="HJ60" s="19">
        <f>HJ59+HJ58</f>
        <v>326173</v>
      </c>
      <c r="HK60" s="23">
        <f t="shared" si="304"/>
        <v>-14.571353894406684</v>
      </c>
      <c r="HL60" s="23" t="e">
        <f t="shared" si="305"/>
        <v>#DIV/0!</v>
      </c>
      <c r="HM60" s="23">
        <f t="shared" si="105"/>
        <v>-9.763101617592952</v>
      </c>
      <c r="HN60" s="23">
        <f t="shared" si="106"/>
        <v>-9.763101617592952</v>
      </c>
      <c r="HO60" s="23"/>
      <c r="HP60" s="19">
        <f>HP59+HP58</f>
        <v>3870</v>
      </c>
      <c r="HQ60" s="6" t="s">
        <v>1</v>
      </c>
      <c r="HR60" s="19">
        <f>HR59+HR58</f>
        <v>259975</v>
      </c>
      <c r="HS60" s="19">
        <f>HS59+HS58</f>
        <v>259975</v>
      </c>
      <c r="HT60" s="23">
        <f t="shared" si="306"/>
        <v>-10.300805206725357</v>
      </c>
      <c r="HU60" s="23" t="e">
        <f t="shared" si="307"/>
        <v>#DIV/0!</v>
      </c>
      <c r="HV60" s="23">
        <f t="shared" si="64"/>
        <v>-20.295364729759967</v>
      </c>
      <c r="HW60" s="23">
        <f t="shared" si="65"/>
        <v>-20.295364729759967</v>
      </c>
      <c r="HX60" s="23"/>
      <c r="HY60" s="19">
        <f>HY59+HY58</f>
        <v>4907</v>
      </c>
      <c r="HZ60" s="6" t="s">
        <v>1</v>
      </c>
      <c r="IA60" s="19">
        <f>IA59+IA58</f>
        <v>341070</v>
      </c>
      <c r="IB60" s="19">
        <f>IB59+IB58</f>
        <v>341070</v>
      </c>
      <c r="IC60" s="23">
        <f t="shared" si="276"/>
        <v>26.79586563307494</v>
      </c>
      <c r="ID60" s="23" t="e">
        <f>HZ60*100/HQ60-100</f>
        <v>#DIV/0!</v>
      </c>
      <c r="IE60" s="23">
        <f t="shared" si="269"/>
        <v>31.19338397922877</v>
      </c>
      <c r="IF60" s="23">
        <f t="shared" si="270"/>
        <v>31.19338397922877</v>
      </c>
      <c r="IG60" s="23"/>
      <c r="IH60" s="1" t="s">
        <v>56</v>
      </c>
      <c r="II60" s="29">
        <f t="shared" si="223"/>
        <v>4437.102</v>
      </c>
      <c r="IJ60" s="30">
        <f t="shared" si="224"/>
        <v>94.3718570282071</v>
      </c>
      <c r="IK60" s="29">
        <f t="shared" si="225"/>
        <v>391081.9</v>
      </c>
      <c r="IL60" s="25">
        <f t="shared" si="226"/>
        <v>-12.780909701872972</v>
      </c>
      <c r="IM60" s="25">
        <f t="shared" si="227"/>
        <v>-100</v>
      </c>
      <c r="IN60" s="25">
        <f t="shared" si="228"/>
        <v>-33.524154403463825</v>
      </c>
      <c r="IP60" s="30">
        <f>HP60*100/Italia!BR60</f>
        <v>22.686184992648972</v>
      </c>
      <c r="IQ60" s="30">
        <f>HR60*100/Italia!BT60</f>
        <v>16.759519032908546</v>
      </c>
      <c r="IR60" s="30">
        <f>HS60*100/Italia!BU60</f>
        <v>17.48164754819851</v>
      </c>
    </row>
    <row r="61" spans="1:252" ht="12">
      <c r="A61" s="1" t="s">
        <v>58</v>
      </c>
      <c r="B61" s="20">
        <v>210</v>
      </c>
      <c r="C61" s="10">
        <v>38.6</v>
      </c>
      <c r="D61" s="11">
        <v>8100</v>
      </c>
      <c r="E61" s="9"/>
      <c r="F61" s="20">
        <v>88</v>
      </c>
      <c r="G61" s="10">
        <f>H61/F61</f>
        <v>50</v>
      </c>
      <c r="H61" s="11">
        <v>4400</v>
      </c>
      <c r="I61" s="23">
        <f t="shared" si="214"/>
        <v>-58.095238095238095</v>
      </c>
      <c r="J61" s="23">
        <f>G61*100/C61-100</f>
        <v>29.53367875647669</v>
      </c>
      <c r="K61" s="23">
        <f t="shared" si="215"/>
        <v>-45.67901234567901</v>
      </c>
      <c r="L61" s="8"/>
      <c r="M61" s="20">
        <v>87</v>
      </c>
      <c r="N61" s="10">
        <v>52</v>
      </c>
      <c r="O61" s="11">
        <v>4500</v>
      </c>
      <c r="P61" s="23">
        <f t="shared" si="216"/>
        <v>-1.1363636363636402</v>
      </c>
      <c r="Q61" s="23">
        <f t="shared" si="277"/>
        <v>4</v>
      </c>
      <c r="R61" s="23">
        <f t="shared" si="217"/>
        <v>2.2727272727272663</v>
      </c>
      <c r="S61" s="8"/>
      <c r="T61" s="20">
        <v>40</v>
      </c>
      <c r="U61" s="10">
        <v>52</v>
      </c>
      <c r="V61" s="11">
        <v>2100</v>
      </c>
      <c r="W61" s="23">
        <f t="shared" si="161"/>
        <v>-54.02298850574713</v>
      </c>
      <c r="X61" s="23">
        <f t="shared" si="278"/>
        <v>0</v>
      </c>
      <c r="Y61" s="23">
        <f t="shared" si="162"/>
        <v>-53.333333333333336</v>
      </c>
      <c r="Z61" s="8"/>
      <c r="AA61" s="20">
        <v>40</v>
      </c>
      <c r="AB61" s="10">
        <f>AC61/AA61</f>
        <v>40</v>
      </c>
      <c r="AC61" s="11">
        <v>1600</v>
      </c>
      <c r="AD61" s="23">
        <f t="shared" si="163"/>
        <v>0</v>
      </c>
      <c r="AE61" s="23">
        <f t="shared" si="279"/>
        <v>-23.07692307692308</v>
      </c>
      <c r="AF61" s="23">
        <f t="shared" si="164"/>
        <v>-23.80952380952381</v>
      </c>
      <c r="AG61" s="8"/>
      <c r="AH61" s="20">
        <v>43</v>
      </c>
      <c r="AI61" s="10">
        <v>39.6</v>
      </c>
      <c r="AJ61" s="11">
        <v>1700</v>
      </c>
      <c r="AK61" s="23">
        <f t="shared" si="165"/>
        <v>7.5</v>
      </c>
      <c r="AL61" s="23">
        <f t="shared" si="280"/>
        <v>-1</v>
      </c>
      <c r="AM61" s="23">
        <f t="shared" si="166"/>
        <v>6.25</v>
      </c>
      <c r="AN61" s="8"/>
      <c r="AO61" s="20">
        <v>44</v>
      </c>
      <c r="AP61" s="10">
        <v>40.4</v>
      </c>
      <c r="AQ61" s="11">
        <v>1800</v>
      </c>
      <c r="AR61" s="23">
        <f t="shared" si="167"/>
        <v>2.3255813953488342</v>
      </c>
      <c r="AS61" s="23">
        <f t="shared" si="281"/>
        <v>2.0202020202020208</v>
      </c>
      <c r="AT61" s="23">
        <f t="shared" si="168"/>
        <v>5.882352941176464</v>
      </c>
      <c r="AU61" s="8"/>
      <c r="AV61" s="20">
        <v>33</v>
      </c>
      <c r="AW61" s="10">
        <v>42.7</v>
      </c>
      <c r="AX61" s="11">
        <v>1409</v>
      </c>
      <c r="AY61" s="23">
        <f t="shared" si="169"/>
        <v>-25</v>
      </c>
      <c r="AZ61" s="23">
        <f t="shared" si="282"/>
        <v>5.6930693069306955</v>
      </c>
      <c r="BA61" s="23">
        <f t="shared" si="170"/>
        <v>-21.72222222222223</v>
      </c>
      <c r="BB61" s="8"/>
      <c r="BC61" s="20">
        <v>30</v>
      </c>
      <c r="BD61" s="10">
        <v>41.9</v>
      </c>
      <c r="BE61" s="11">
        <v>1256</v>
      </c>
      <c r="BF61" s="23">
        <f t="shared" si="171"/>
        <v>-9.090909090909093</v>
      </c>
      <c r="BG61" s="23">
        <f t="shared" si="283"/>
        <v>-1.8735362997658171</v>
      </c>
      <c r="BH61" s="23">
        <f t="shared" si="172"/>
        <v>-10.858765081618174</v>
      </c>
      <c r="BI61" s="8"/>
      <c r="BJ61" s="20">
        <v>28</v>
      </c>
      <c r="BK61" s="10">
        <v>41.79</v>
      </c>
      <c r="BL61" s="11">
        <v>1170</v>
      </c>
      <c r="BM61" s="23">
        <f t="shared" si="218"/>
        <v>-6.666666666666671</v>
      </c>
      <c r="BN61" s="23">
        <f t="shared" si="284"/>
        <v>-0.2625298329355559</v>
      </c>
      <c r="BO61" s="23">
        <f t="shared" si="173"/>
        <v>-6.847133757961785</v>
      </c>
      <c r="BP61" s="8"/>
      <c r="BQ61" s="20">
        <v>26</v>
      </c>
      <c r="BR61" s="10">
        <v>42.5</v>
      </c>
      <c r="BS61" s="11">
        <v>1105</v>
      </c>
      <c r="BT61" s="23">
        <f t="shared" si="219"/>
        <v>-7.142857142857139</v>
      </c>
      <c r="BU61" s="23">
        <f t="shared" si="285"/>
        <v>1.6989710457047096</v>
      </c>
      <c r="BV61" s="23">
        <f t="shared" si="174"/>
        <v>-5.555555555555557</v>
      </c>
      <c r="BW61" s="8"/>
      <c r="BX61" s="20">
        <v>26</v>
      </c>
      <c r="BY61" s="10">
        <v>42.1</v>
      </c>
      <c r="BZ61" s="11">
        <v>1095</v>
      </c>
      <c r="CA61" s="23">
        <f t="shared" si="175"/>
        <v>0</v>
      </c>
      <c r="CB61" s="23">
        <f t="shared" si="286"/>
        <v>-0.941176470588232</v>
      </c>
      <c r="CC61" s="23">
        <f t="shared" si="176"/>
        <v>-0.9049773755656076</v>
      </c>
      <c r="CD61" s="8"/>
      <c r="CE61" s="20">
        <v>27</v>
      </c>
      <c r="CF61" s="10">
        <v>42.7</v>
      </c>
      <c r="CG61" s="11">
        <v>1152</v>
      </c>
      <c r="CH61" s="23">
        <f t="shared" si="177"/>
        <v>3.8461538461538396</v>
      </c>
      <c r="CI61" s="23">
        <f t="shared" si="287"/>
        <v>1.4251781472684115</v>
      </c>
      <c r="CJ61" s="23">
        <f t="shared" si="178"/>
        <v>5.205479452054789</v>
      </c>
      <c r="CK61" s="8"/>
      <c r="CL61" s="20">
        <v>30</v>
      </c>
      <c r="CM61" s="10">
        <v>39.9</v>
      </c>
      <c r="CN61" s="11">
        <v>1196</v>
      </c>
      <c r="CO61" s="23">
        <f t="shared" si="179"/>
        <v>11.111111111111114</v>
      </c>
      <c r="CP61" s="23">
        <f t="shared" si="288"/>
        <v>-6.557377049180332</v>
      </c>
      <c r="CQ61" s="23">
        <f t="shared" si="180"/>
        <v>3.819444444444443</v>
      </c>
      <c r="CR61" s="8"/>
      <c r="CS61" s="20">
        <v>21</v>
      </c>
      <c r="CT61" s="10">
        <v>43.9</v>
      </c>
      <c r="CU61" s="11">
        <v>921</v>
      </c>
      <c r="CV61" s="23">
        <f t="shared" si="181"/>
        <v>-30</v>
      </c>
      <c r="CW61" s="23">
        <f t="shared" si="289"/>
        <v>10.025062656641609</v>
      </c>
      <c r="CX61" s="23">
        <f t="shared" si="182"/>
        <v>-22.993311036789294</v>
      </c>
      <c r="CY61" s="8"/>
      <c r="CZ61" s="20">
        <v>21</v>
      </c>
      <c r="DA61" s="10">
        <v>44</v>
      </c>
      <c r="DB61" s="11">
        <v>925</v>
      </c>
      <c r="DC61" s="23">
        <f t="shared" si="183"/>
        <v>0</v>
      </c>
      <c r="DD61" s="23">
        <f t="shared" si="290"/>
        <v>0.2277904328018252</v>
      </c>
      <c r="DE61" s="23">
        <f t="shared" si="184"/>
        <v>0.4343105320303948</v>
      </c>
      <c r="DF61" s="8"/>
      <c r="DG61" s="20">
        <v>23</v>
      </c>
      <c r="DH61" s="10">
        <f>DI61/DG61</f>
        <v>41.130434782608695</v>
      </c>
      <c r="DI61" s="11">
        <v>946</v>
      </c>
      <c r="DJ61" s="23">
        <f t="shared" si="185"/>
        <v>9.523809523809518</v>
      </c>
      <c r="DK61" s="23">
        <f t="shared" si="291"/>
        <v>-6.521739130434767</v>
      </c>
      <c r="DL61" s="23">
        <f t="shared" si="186"/>
        <v>2.2702702702702737</v>
      </c>
      <c r="DM61" s="8"/>
      <c r="DN61" s="20">
        <v>27</v>
      </c>
      <c r="DO61" s="10">
        <v>39.5</v>
      </c>
      <c r="DP61" s="11">
        <v>1066</v>
      </c>
      <c r="DQ61" s="23">
        <f t="shared" si="187"/>
        <v>17.391304347826093</v>
      </c>
      <c r="DR61" s="23">
        <f t="shared" si="292"/>
        <v>-3.9640591966173417</v>
      </c>
      <c r="DS61" s="23">
        <f t="shared" si="188"/>
        <v>12.684989429175474</v>
      </c>
      <c r="DT61" s="8"/>
      <c r="DU61" s="20">
        <v>26</v>
      </c>
      <c r="DV61" s="10">
        <v>34.4</v>
      </c>
      <c r="DW61" s="11">
        <v>894</v>
      </c>
      <c r="DX61" s="23">
        <f t="shared" si="189"/>
        <v>-3.7037037037037095</v>
      </c>
      <c r="DY61" s="23">
        <f t="shared" si="293"/>
        <v>-12.911392405063296</v>
      </c>
      <c r="DZ61" s="23">
        <f t="shared" si="190"/>
        <v>-16.135084427767353</v>
      </c>
      <c r="EA61" s="8"/>
      <c r="EB61" s="20">
        <v>30</v>
      </c>
      <c r="EC61" s="10">
        <v>36.8</v>
      </c>
      <c r="ED61" s="11">
        <v>1103</v>
      </c>
      <c r="EE61" s="23">
        <f t="shared" si="191"/>
        <v>15.384615384615387</v>
      </c>
      <c r="EF61" s="23">
        <f t="shared" si="294"/>
        <v>6.976744186046503</v>
      </c>
      <c r="EG61" s="23">
        <f t="shared" si="192"/>
        <v>23.37807606263982</v>
      </c>
      <c r="EH61" s="8"/>
      <c r="EI61" s="20">
        <v>32</v>
      </c>
      <c r="EJ61" s="10">
        <v>38.1</v>
      </c>
      <c r="EK61" s="11">
        <v>1220</v>
      </c>
      <c r="EL61" s="23">
        <f t="shared" si="193"/>
        <v>6.666666666666671</v>
      </c>
      <c r="EM61" s="23">
        <f t="shared" si="295"/>
        <v>3.5326086956521863</v>
      </c>
      <c r="EN61" s="23">
        <f t="shared" si="194"/>
        <v>10.607434270172263</v>
      </c>
      <c r="EO61" s="8"/>
      <c r="EP61" s="20">
        <v>35</v>
      </c>
      <c r="EQ61" s="10">
        <v>40.3</v>
      </c>
      <c r="ER61" s="11">
        <v>1411</v>
      </c>
      <c r="ES61" s="23">
        <f t="shared" si="195"/>
        <v>9.375</v>
      </c>
      <c r="ET61" s="23">
        <f t="shared" si="296"/>
        <v>5.774278215223077</v>
      </c>
      <c r="EU61" s="23">
        <f t="shared" si="196"/>
        <v>15.655737704918039</v>
      </c>
      <c r="EV61" s="8"/>
      <c r="EW61" s="20">
        <v>31</v>
      </c>
      <c r="EX61" s="10">
        <f t="shared" si="265"/>
        <v>36.935483870967744</v>
      </c>
      <c r="EY61" s="11">
        <v>1145</v>
      </c>
      <c r="EZ61" s="11">
        <v>1145</v>
      </c>
      <c r="FA61" s="23">
        <f t="shared" si="198"/>
        <v>-11.42857142857143</v>
      </c>
      <c r="FB61" s="23">
        <f t="shared" si="297"/>
        <v>-8.348675258144539</v>
      </c>
      <c r="FC61" s="23">
        <f t="shared" si="199"/>
        <v>-18.851878100637848</v>
      </c>
      <c r="FD61" s="8"/>
      <c r="FE61" s="20">
        <v>37</v>
      </c>
      <c r="FF61" s="10">
        <f t="shared" si="229"/>
        <v>39.189189189189186</v>
      </c>
      <c r="FG61" s="11">
        <v>1450</v>
      </c>
      <c r="FH61" s="11">
        <v>1450</v>
      </c>
      <c r="FI61" s="23">
        <f t="shared" si="266"/>
        <v>19.354838709677423</v>
      </c>
      <c r="FJ61" s="23">
        <f t="shared" si="271"/>
        <v>6.101734922695613</v>
      </c>
      <c r="FK61" s="23">
        <f t="shared" si="271"/>
        <v>26.63755458515284</v>
      </c>
      <c r="FL61" s="23">
        <f t="shared" si="267"/>
        <v>26.63755458515284</v>
      </c>
      <c r="FM61" s="23"/>
      <c r="FN61" s="20">
        <v>40</v>
      </c>
      <c r="FO61" s="10">
        <f t="shared" si="220"/>
        <v>40.5</v>
      </c>
      <c r="FP61" s="11">
        <v>1620</v>
      </c>
      <c r="FQ61" s="11">
        <v>1620</v>
      </c>
      <c r="FR61" s="23">
        <f t="shared" si="298"/>
        <v>8.108108108108112</v>
      </c>
      <c r="FS61" s="23">
        <f t="shared" si="298"/>
        <v>3.344827586206904</v>
      </c>
      <c r="FT61" s="23">
        <f t="shared" si="53"/>
        <v>11.724137931034477</v>
      </c>
      <c r="FU61" s="23">
        <f t="shared" si="53"/>
        <v>11.724137931034477</v>
      </c>
      <c r="FV61" s="23"/>
      <c r="FW61" s="20">
        <v>40</v>
      </c>
      <c r="FX61" s="10">
        <f>FY61/FW61</f>
        <v>40.5</v>
      </c>
      <c r="FY61" s="20">
        <v>1620</v>
      </c>
      <c r="FZ61" s="20">
        <v>1620</v>
      </c>
      <c r="GA61" s="23">
        <f t="shared" si="299"/>
        <v>0</v>
      </c>
      <c r="GB61" s="23">
        <f t="shared" si="299"/>
        <v>0</v>
      </c>
      <c r="GC61" s="23">
        <f t="shared" si="299"/>
        <v>0</v>
      </c>
      <c r="GD61" s="23">
        <f t="shared" si="299"/>
        <v>0</v>
      </c>
      <c r="GE61" s="23"/>
      <c r="GF61" s="20">
        <v>48</v>
      </c>
      <c r="GG61" s="10">
        <f>GH61/GF61</f>
        <v>42.416666666666664</v>
      </c>
      <c r="GH61" s="20">
        <v>2036</v>
      </c>
      <c r="GI61" s="20">
        <v>2036</v>
      </c>
      <c r="GJ61" s="23">
        <f t="shared" si="300"/>
        <v>20</v>
      </c>
      <c r="GK61" s="23">
        <f t="shared" si="300"/>
        <v>4.732510288065825</v>
      </c>
      <c r="GL61" s="23">
        <f t="shared" si="57"/>
        <v>25.679012345679013</v>
      </c>
      <c r="GM61" s="23">
        <f t="shared" si="57"/>
        <v>25.679012345679013</v>
      </c>
      <c r="GN61" s="23"/>
      <c r="GO61" s="20">
        <v>36</v>
      </c>
      <c r="GP61" s="10">
        <f>GQ61/GO61</f>
        <v>42</v>
      </c>
      <c r="GQ61" s="20">
        <v>1512</v>
      </c>
      <c r="GR61" s="20">
        <v>1512</v>
      </c>
      <c r="GS61" s="23">
        <f t="shared" si="301"/>
        <v>-25</v>
      </c>
      <c r="GT61" s="23">
        <f t="shared" si="301"/>
        <v>-0.982318271119837</v>
      </c>
      <c r="GU61" s="23">
        <f t="shared" si="59"/>
        <v>-25.73673870333988</v>
      </c>
      <c r="GV61" s="23">
        <f t="shared" si="60"/>
        <v>-25.73673870333988</v>
      </c>
      <c r="GW61" s="23"/>
      <c r="GX61" s="20">
        <v>15</v>
      </c>
      <c r="GY61" s="10">
        <f>GZ61/GX61</f>
        <v>40</v>
      </c>
      <c r="GZ61" s="20">
        <v>600</v>
      </c>
      <c r="HA61" s="20">
        <v>600</v>
      </c>
      <c r="HB61" s="23">
        <f t="shared" si="302"/>
        <v>-58.333333333333336</v>
      </c>
      <c r="HC61" s="23">
        <f t="shared" si="303"/>
        <v>-4.761904761904759</v>
      </c>
      <c r="HD61" s="23">
        <f t="shared" si="62"/>
        <v>-60.317460317460316</v>
      </c>
      <c r="HE61" s="23">
        <f t="shared" si="63"/>
        <v>-60.317460317460316</v>
      </c>
      <c r="HF61" s="23"/>
      <c r="HG61" s="20">
        <v>18</v>
      </c>
      <c r="HH61" s="10">
        <f>HI61/HG61</f>
        <v>40</v>
      </c>
      <c r="HI61" s="20">
        <v>720</v>
      </c>
      <c r="HJ61" s="20">
        <v>720</v>
      </c>
      <c r="HK61" s="23">
        <f t="shared" si="304"/>
        <v>20</v>
      </c>
      <c r="HL61" s="23">
        <f t="shared" si="305"/>
        <v>0</v>
      </c>
      <c r="HM61" s="23">
        <f t="shared" si="105"/>
        <v>20</v>
      </c>
      <c r="HN61" s="23">
        <f t="shared" si="106"/>
        <v>20</v>
      </c>
      <c r="HO61" s="23"/>
      <c r="HP61" s="20">
        <v>20</v>
      </c>
      <c r="HQ61" s="10">
        <f>HR61/HP61</f>
        <v>56</v>
      </c>
      <c r="HR61" s="20">
        <v>1120</v>
      </c>
      <c r="HS61" s="20">
        <v>1120</v>
      </c>
      <c r="HT61" s="23">
        <f t="shared" si="306"/>
        <v>11.111111111111114</v>
      </c>
      <c r="HU61" s="23">
        <f t="shared" si="307"/>
        <v>40</v>
      </c>
      <c r="HV61" s="23">
        <f t="shared" si="64"/>
        <v>55.55555555555554</v>
      </c>
      <c r="HW61" s="23">
        <f t="shared" si="65"/>
        <v>55.55555555555554</v>
      </c>
      <c r="HX61" s="23"/>
      <c r="HY61" s="20">
        <v>25</v>
      </c>
      <c r="HZ61" s="10">
        <f>IA61/HY61</f>
        <v>58.8</v>
      </c>
      <c r="IA61" s="20">
        <v>1470</v>
      </c>
      <c r="IB61" s="20">
        <v>1470</v>
      </c>
      <c r="IC61" s="23">
        <f t="shared" si="276"/>
        <v>25</v>
      </c>
      <c r="ID61" s="23">
        <f>HZ61*100/HQ61-100</f>
        <v>5</v>
      </c>
      <c r="IE61" s="23">
        <f t="shared" si="269"/>
        <v>31.25</v>
      </c>
      <c r="IF61" s="23">
        <f t="shared" si="270"/>
        <v>31.25</v>
      </c>
      <c r="IG61" s="23"/>
      <c r="IH61" s="1" t="s">
        <v>58</v>
      </c>
      <c r="II61" s="29">
        <f t="shared" si="223"/>
        <v>33.2</v>
      </c>
      <c r="IJ61" s="30">
        <f t="shared" si="224"/>
        <v>39.99413397268236</v>
      </c>
      <c r="IK61" s="29">
        <f t="shared" si="225"/>
        <v>1333.4</v>
      </c>
      <c r="IL61" s="25">
        <f t="shared" si="226"/>
        <v>-39.75903614457832</v>
      </c>
      <c r="IM61" s="25">
        <f t="shared" si="227"/>
        <v>40.02053410695254</v>
      </c>
      <c r="IN61" s="25">
        <f t="shared" si="228"/>
        <v>-16.004199790010503</v>
      </c>
      <c r="IP61" s="30">
        <f>HP61*100/Italia!BR61</f>
        <v>0.25271670457417234</v>
      </c>
      <c r="IQ61" s="30">
        <f>HR61*100/Italia!BT61</f>
        <v>0.22469024844321756</v>
      </c>
      <c r="IR61" s="30">
        <f>HS61*100/Italia!BU61</f>
        <v>0.2407183723999192</v>
      </c>
    </row>
    <row r="62" spans="1:252" ht="12">
      <c r="A62" s="1" t="s">
        <v>59</v>
      </c>
      <c r="B62" s="20">
        <v>486</v>
      </c>
      <c r="C62" s="10">
        <v>323.9</v>
      </c>
      <c r="D62" s="11">
        <v>156900</v>
      </c>
      <c r="E62" s="9"/>
      <c r="F62" s="20">
        <v>509</v>
      </c>
      <c r="G62" s="10">
        <f>166120/F62</f>
        <v>326.36542239685656</v>
      </c>
      <c r="H62" s="11">
        <v>165300</v>
      </c>
      <c r="I62" s="23">
        <f t="shared" si="214"/>
        <v>4.732510288065839</v>
      </c>
      <c r="J62" s="23">
        <f>G62*100/C62-100</f>
        <v>0.7611677668590886</v>
      </c>
      <c r="K62" s="23">
        <f t="shared" si="215"/>
        <v>5.353728489483743</v>
      </c>
      <c r="L62" s="8"/>
      <c r="M62" s="20">
        <v>480</v>
      </c>
      <c r="N62" s="10">
        <f>133470/M62</f>
        <v>278.0625</v>
      </c>
      <c r="O62" s="11">
        <v>133000</v>
      </c>
      <c r="P62" s="23">
        <f t="shared" si="216"/>
        <v>-5.697445972495089</v>
      </c>
      <c r="Q62" s="23">
        <f t="shared" si="277"/>
        <v>-14.800257344088607</v>
      </c>
      <c r="R62" s="23">
        <f t="shared" si="217"/>
        <v>-19.54022988505747</v>
      </c>
      <c r="S62" s="8"/>
      <c r="T62" s="20">
        <v>518</v>
      </c>
      <c r="U62" s="10">
        <v>283</v>
      </c>
      <c r="V62" s="11">
        <v>143200</v>
      </c>
      <c r="W62" s="23">
        <f t="shared" si="161"/>
        <v>7.916666666666671</v>
      </c>
      <c r="X62" s="23">
        <f t="shared" si="278"/>
        <v>1.7756799280737283</v>
      </c>
      <c r="Y62" s="23">
        <f t="shared" si="162"/>
        <v>7.669172932330824</v>
      </c>
      <c r="Z62" s="8"/>
      <c r="AA62" s="20">
        <v>509</v>
      </c>
      <c r="AB62" s="10">
        <v>262.4</v>
      </c>
      <c r="AC62" s="11">
        <v>131200</v>
      </c>
      <c r="AD62" s="23">
        <f t="shared" si="163"/>
        <v>-1.7374517374517353</v>
      </c>
      <c r="AE62" s="23">
        <f t="shared" si="279"/>
        <v>-7.279151943462907</v>
      </c>
      <c r="AF62" s="23">
        <f t="shared" si="164"/>
        <v>-8.37988826815642</v>
      </c>
      <c r="AG62" s="8"/>
      <c r="AH62" s="20">
        <v>490</v>
      </c>
      <c r="AI62" s="10">
        <v>265.9</v>
      </c>
      <c r="AJ62" s="11">
        <v>128500</v>
      </c>
      <c r="AK62" s="23">
        <f t="shared" si="165"/>
        <v>-3.7328094302554007</v>
      </c>
      <c r="AL62" s="23">
        <f t="shared" si="280"/>
        <v>1.333841463414629</v>
      </c>
      <c r="AM62" s="23">
        <f t="shared" si="166"/>
        <v>-2.057926829268297</v>
      </c>
      <c r="AN62" s="8"/>
      <c r="AO62" s="20">
        <v>501</v>
      </c>
      <c r="AP62" s="10">
        <v>276.5</v>
      </c>
      <c r="AQ62" s="11">
        <v>137000</v>
      </c>
      <c r="AR62" s="23">
        <f t="shared" si="167"/>
        <v>2.2448979591836746</v>
      </c>
      <c r="AS62" s="23">
        <f t="shared" si="281"/>
        <v>3.986461075592331</v>
      </c>
      <c r="AT62" s="23">
        <f t="shared" si="168"/>
        <v>6.614785992217904</v>
      </c>
      <c r="AU62" s="8"/>
      <c r="AV62" s="20">
        <v>425</v>
      </c>
      <c r="AW62" s="10">
        <v>278.5</v>
      </c>
      <c r="AX62" s="11">
        <v>117628</v>
      </c>
      <c r="AY62" s="23">
        <f t="shared" si="169"/>
        <v>-15.169660678642714</v>
      </c>
      <c r="AZ62" s="23">
        <f t="shared" si="282"/>
        <v>0.7233273056057925</v>
      </c>
      <c r="BA62" s="23">
        <f t="shared" si="170"/>
        <v>-14.14014598540146</v>
      </c>
      <c r="BB62" s="8"/>
      <c r="BC62" s="20">
        <v>386</v>
      </c>
      <c r="BD62" s="10">
        <v>261.7</v>
      </c>
      <c r="BE62" s="11">
        <v>100322</v>
      </c>
      <c r="BF62" s="23">
        <f t="shared" si="171"/>
        <v>-9.17647058823529</v>
      </c>
      <c r="BG62" s="23">
        <f t="shared" si="283"/>
        <v>-6.032315978456012</v>
      </c>
      <c r="BH62" s="23">
        <f t="shared" si="172"/>
        <v>-14.71248342231442</v>
      </c>
      <c r="BI62" s="8"/>
      <c r="BJ62" s="20">
        <v>378</v>
      </c>
      <c r="BK62" s="10">
        <v>266.72</v>
      </c>
      <c r="BL62" s="11">
        <v>100119</v>
      </c>
      <c r="BM62" s="23">
        <f t="shared" si="218"/>
        <v>-2.07253886010362</v>
      </c>
      <c r="BN62" s="23">
        <f t="shared" si="284"/>
        <v>1.9182269774551202</v>
      </c>
      <c r="BO62" s="23">
        <f t="shared" si="173"/>
        <v>-0.20234843802954572</v>
      </c>
      <c r="BP62" s="8"/>
      <c r="BQ62" s="20">
        <v>370</v>
      </c>
      <c r="BR62" s="10">
        <v>262.31</v>
      </c>
      <c r="BS62" s="11">
        <v>95484</v>
      </c>
      <c r="BT62" s="23">
        <f t="shared" si="219"/>
        <v>-2.1164021164021136</v>
      </c>
      <c r="BU62" s="23">
        <f t="shared" si="285"/>
        <v>-1.6534193161367767</v>
      </c>
      <c r="BV62" s="23">
        <f t="shared" si="174"/>
        <v>-4.629490905822067</v>
      </c>
      <c r="BW62" s="8"/>
      <c r="BX62" s="20">
        <v>344</v>
      </c>
      <c r="BY62" s="10">
        <v>270.6</v>
      </c>
      <c r="BZ62" s="11">
        <v>85113</v>
      </c>
      <c r="CA62" s="23">
        <f t="shared" si="175"/>
        <v>-7.027027027027032</v>
      </c>
      <c r="CB62" s="23">
        <f t="shared" si="286"/>
        <v>3.1603827532309197</v>
      </c>
      <c r="CC62" s="23">
        <f t="shared" si="176"/>
        <v>-10.861505592560007</v>
      </c>
      <c r="CD62" s="8"/>
      <c r="CE62" s="20">
        <v>343</v>
      </c>
      <c r="CF62" s="10">
        <v>244.6</v>
      </c>
      <c r="CG62" s="11">
        <v>82890</v>
      </c>
      <c r="CH62" s="23">
        <f t="shared" si="177"/>
        <v>-0.2906976744186096</v>
      </c>
      <c r="CI62" s="23">
        <f t="shared" si="287"/>
        <v>-9.608277900960829</v>
      </c>
      <c r="CJ62" s="23">
        <f t="shared" si="178"/>
        <v>-2.611821930844883</v>
      </c>
      <c r="CK62" s="8"/>
      <c r="CL62" s="20">
        <v>345</v>
      </c>
      <c r="CM62" s="10">
        <v>241</v>
      </c>
      <c r="CN62" s="11">
        <v>81952</v>
      </c>
      <c r="CO62" s="23">
        <f t="shared" si="179"/>
        <v>0.5830903790087518</v>
      </c>
      <c r="CP62" s="23">
        <f t="shared" si="288"/>
        <v>-1.4717906786590333</v>
      </c>
      <c r="CQ62" s="23">
        <f t="shared" si="180"/>
        <v>-1.1316202195681058</v>
      </c>
      <c r="CR62" s="8"/>
      <c r="CS62" s="20">
        <v>353</v>
      </c>
      <c r="CT62" s="10">
        <v>225.6</v>
      </c>
      <c r="CU62" s="11">
        <v>78433</v>
      </c>
      <c r="CV62" s="23">
        <f t="shared" si="181"/>
        <v>2.318840579710141</v>
      </c>
      <c r="CW62" s="23">
        <f t="shared" si="289"/>
        <v>-6.390041493775939</v>
      </c>
      <c r="CX62" s="23">
        <f t="shared" si="182"/>
        <v>-4.293976962124177</v>
      </c>
      <c r="CY62" s="8"/>
      <c r="CZ62" s="20">
        <v>351</v>
      </c>
      <c r="DA62" s="10">
        <v>237.8</v>
      </c>
      <c r="DB62" s="11">
        <v>82265</v>
      </c>
      <c r="DC62" s="23">
        <f t="shared" si="183"/>
        <v>-0.5665722379603437</v>
      </c>
      <c r="DD62" s="23">
        <f t="shared" si="290"/>
        <v>5.407801418439718</v>
      </c>
      <c r="DE62" s="23">
        <f t="shared" si="184"/>
        <v>4.885698621753605</v>
      </c>
      <c r="DF62" s="8"/>
      <c r="DG62" s="20">
        <v>354</v>
      </c>
      <c r="DH62" s="10">
        <v>233.19</v>
      </c>
      <c r="DI62" s="11">
        <v>80850</v>
      </c>
      <c r="DJ62" s="23">
        <f t="shared" si="185"/>
        <v>0.8547008547008517</v>
      </c>
      <c r="DK62" s="23">
        <f t="shared" si="291"/>
        <v>-1.9386038687973155</v>
      </c>
      <c r="DL62" s="23">
        <f t="shared" si="186"/>
        <v>-1.7200510545189331</v>
      </c>
      <c r="DM62" s="8"/>
      <c r="DN62" s="20">
        <v>340</v>
      </c>
      <c r="DO62" s="10">
        <v>233.5</v>
      </c>
      <c r="DP62" s="11">
        <v>78380</v>
      </c>
      <c r="DQ62" s="23">
        <f t="shared" si="187"/>
        <v>-3.9548022598870034</v>
      </c>
      <c r="DR62" s="23">
        <f t="shared" si="292"/>
        <v>0.13293880526609314</v>
      </c>
      <c r="DS62" s="23">
        <f t="shared" si="188"/>
        <v>-3.055040197897341</v>
      </c>
      <c r="DT62" s="8"/>
      <c r="DU62" s="20">
        <v>242</v>
      </c>
      <c r="DV62" s="10">
        <v>234.3</v>
      </c>
      <c r="DW62" s="11">
        <v>56690</v>
      </c>
      <c r="DX62" s="23">
        <f t="shared" si="189"/>
        <v>-28.82352941176471</v>
      </c>
      <c r="DY62" s="23">
        <f t="shared" si="293"/>
        <v>0.3426124197002167</v>
      </c>
      <c r="DZ62" s="23">
        <f t="shared" si="190"/>
        <v>-27.67287573360551</v>
      </c>
      <c r="EA62" s="8"/>
      <c r="EB62" s="20">
        <v>245</v>
      </c>
      <c r="EC62" s="10">
        <v>281.4</v>
      </c>
      <c r="ED62" s="11">
        <v>68950</v>
      </c>
      <c r="EE62" s="23">
        <f t="shared" si="191"/>
        <v>1.239669421487605</v>
      </c>
      <c r="EF62" s="23">
        <f t="shared" si="294"/>
        <v>20.10243277848909</v>
      </c>
      <c r="EG62" s="23">
        <f t="shared" si="192"/>
        <v>21.62638913388605</v>
      </c>
      <c r="EH62" s="8"/>
      <c r="EI62" s="20">
        <v>253</v>
      </c>
      <c r="EJ62" s="10">
        <v>286.4</v>
      </c>
      <c r="EK62" s="11">
        <v>72460</v>
      </c>
      <c r="EL62" s="23">
        <f t="shared" si="193"/>
        <v>3.265306122448976</v>
      </c>
      <c r="EM62" s="23">
        <f t="shared" si="295"/>
        <v>1.7768301350390914</v>
      </c>
      <c r="EN62" s="23">
        <f t="shared" si="194"/>
        <v>5.090645395213926</v>
      </c>
      <c r="EO62" s="8"/>
      <c r="EP62" s="20">
        <v>209</v>
      </c>
      <c r="EQ62" s="10">
        <v>285.8</v>
      </c>
      <c r="ER62" s="11">
        <v>59740</v>
      </c>
      <c r="ES62" s="23">
        <f t="shared" si="195"/>
        <v>-17.391304347826093</v>
      </c>
      <c r="ET62" s="23">
        <f t="shared" si="296"/>
        <v>-0.20949720670390093</v>
      </c>
      <c r="EU62" s="23">
        <f t="shared" si="196"/>
        <v>-17.554512834667406</v>
      </c>
      <c r="EV62" s="8"/>
      <c r="EW62" s="20">
        <v>200</v>
      </c>
      <c r="EX62" s="10">
        <f t="shared" si="265"/>
        <v>263.45</v>
      </c>
      <c r="EY62" s="11">
        <v>52690</v>
      </c>
      <c r="EZ62" s="11">
        <v>52690</v>
      </c>
      <c r="FA62" s="23">
        <f t="shared" si="198"/>
        <v>-4.306220095693774</v>
      </c>
      <c r="FB62" s="23">
        <f t="shared" si="297"/>
        <v>-7.820153953813858</v>
      </c>
      <c r="FC62" s="23">
        <f t="shared" si="199"/>
        <v>-11.801138265818551</v>
      </c>
      <c r="FD62" s="8"/>
      <c r="FE62" s="20">
        <v>203</v>
      </c>
      <c r="FF62" s="10">
        <f t="shared" si="229"/>
        <v>262.46305418719214</v>
      </c>
      <c r="FG62" s="11">
        <v>53280</v>
      </c>
      <c r="FH62" s="11">
        <v>53280</v>
      </c>
      <c r="FI62" s="23">
        <f t="shared" si="266"/>
        <v>1.5</v>
      </c>
      <c r="FJ62" s="23">
        <f t="shared" si="271"/>
        <v>-0.3746235766968482</v>
      </c>
      <c r="FK62" s="23">
        <f t="shared" si="271"/>
        <v>1.1197570696526924</v>
      </c>
      <c r="FL62" s="23">
        <f t="shared" si="267"/>
        <v>1.1197570696526924</v>
      </c>
      <c r="FM62" s="23"/>
      <c r="FN62" s="20">
        <v>184</v>
      </c>
      <c r="FO62" s="10">
        <f t="shared" si="220"/>
        <v>249.34782608695653</v>
      </c>
      <c r="FP62" s="11">
        <v>45880</v>
      </c>
      <c r="FQ62" s="11">
        <v>45560</v>
      </c>
      <c r="FR62" s="23">
        <f t="shared" si="298"/>
        <v>-9.35960591133005</v>
      </c>
      <c r="FS62" s="23">
        <f t="shared" si="298"/>
        <v>-4.996980676328505</v>
      </c>
      <c r="FT62" s="23">
        <f t="shared" si="53"/>
        <v>-13.888888888888886</v>
      </c>
      <c r="FU62" s="23">
        <f t="shared" si="53"/>
        <v>-14.489489489489486</v>
      </c>
      <c r="FV62" s="23"/>
      <c r="FW62" s="20">
        <v>162</v>
      </c>
      <c r="FX62" s="10">
        <f>FY62/FW62</f>
        <v>232.09876543209876</v>
      </c>
      <c r="FY62" s="20">
        <v>37600</v>
      </c>
      <c r="FZ62" s="20">
        <v>37600</v>
      </c>
      <c r="GA62" s="23">
        <f t="shared" si="299"/>
        <v>-11.956521739130437</v>
      </c>
      <c r="GB62" s="23">
        <f t="shared" si="299"/>
        <v>-6.917670358530572</v>
      </c>
      <c r="GC62" s="23">
        <f t="shared" si="299"/>
        <v>-18.04707933740191</v>
      </c>
      <c r="GD62" s="23">
        <f t="shared" si="299"/>
        <v>-17.471466198419662</v>
      </c>
      <c r="GE62" s="23"/>
      <c r="GF62" s="20">
        <v>164</v>
      </c>
      <c r="GG62" s="10">
        <f>GH62/GF62</f>
        <v>246.34146341463415</v>
      </c>
      <c r="GH62" s="20">
        <v>40400</v>
      </c>
      <c r="GI62" s="20">
        <v>40400</v>
      </c>
      <c r="GJ62" s="23">
        <f t="shared" si="300"/>
        <v>1.2345679012345698</v>
      </c>
      <c r="GK62" s="23">
        <f t="shared" si="300"/>
        <v>6.136481577581748</v>
      </c>
      <c r="GL62" s="23">
        <f t="shared" si="57"/>
        <v>7.4468085106382915</v>
      </c>
      <c r="GM62" s="23">
        <f t="shared" si="57"/>
        <v>7.4468085106382915</v>
      </c>
      <c r="GN62" s="23"/>
      <c r="GO62" s="20">
        <v>157</v>
      </c>
      <c r="GP62" s="10">
        <f>GQ62/GO62</f>
        <v>271.21019108280257</v>
      </c>
      <c r="GQ62" s="20">
        <v>42580</v>
      </c>
      <c r="GR62" s="20">
        <v>42580</v>
      </c>
      <c r="GS62" s="23">
        <f t="shared" si="301"/>
        <v>-4.268292682926827</v>
      </c>
      <c r="GT62" s="23">
        <f t="shared" si="301"/>
        <v>10.095226083117865</v>
      </c>
      <c r="GU62" s="23">
        <f t="shared" si="59"/>
        <v>5.396039603960389</v>
      </c>
      <c r="GV62" s="23">
        <f t="shared" si="60"/>
        <v>5.396039603960389</v>
      </c>
      <c r="GW62" s="23"/>
      <c r="GX62" s="20">
        <v>168</v>
      </c>
      <c r="GY62" s="10">
        <f>GZ62/GX62</f>
        <v>292.14285714285717</v>
      </c>
      <c r="GZ62" s="20">
        <v>49080</v>
      </c>
      <c r="HA62" s="20">
        <v>49080</v>
      </c>
      <c r="HB62" s="23">
        <f t="shared" si="302"/>
        <v>7.00636942675159</v>
      </c>
      <c r="HC62" s="23">
        <f t="shared" si="303"/>
        <v>7.718244648728444</v>
      </c>
      <c r="HD62" s="23">
        <f t="shared" si="62"/>
        <v>15.265382808830438</v>
      </c>
      <c r="HE62" s="23">
        <f t="shared" si="63"/>
        <v>15.265382808830438</v>
      </c>
      <c r="HF62" s="23"/>
      <c r="HG62" s="20">
        <v>187</v>
      </c>
      <c r="HH62" s="10">
        <f>HI62/HG62</f>
        <v>308.8235294117647</v>
      </c>
      <c r="HI62" s="20">
        <v>57750</v>
      </c>
      <c r="HJ62" s="20">
        <v>57750</v>
      </c>
      <c r="HK62" s="23">
        <f t="shared" si="304"/>
        <v>11.30952380952381</v>
      </c>
      <c r="HL62" s="23">
        <f t="shared" si="305"/>
        <v>5.7097655688191935</v>
      </c>
      <c r="HM62" s="23">
        <f t="shared" si="105"/>
        <v>17.66503667481662</v>
      </c>
      <c r="HN62" s="23">
        <f t="shared" si="106"/>
        <v>17.66503667481662</v>
      </c>
      <c r="HO62" s="23"/>
      <c r="HP62" s="20">
        <v>187</v>
      </c>
      <c r="HQ62" s="10">
        <f>HR62/HP62</f>
        <v>336.41711229946526</v>
      </c>
      <c r="HR62" s="20">
        <v>62910</v>
      </c>
      <c r="HS62" s="20">
        <v>62910</v>
      </c>
      <c r="HT62" s="23">
        <f t="shared" si="306"/>
        <v>0</v>
      </c>
      <c r="HU62" s="23">
        <f t="shared" si="307"/>
        <v>8.93506493506493</v>
      </c>
      <c r="HV62" s="23">
        <f t="shared" si="64"/>
        <v>8.93506493506493</v>
      </c>
      <c r="HW62" s="23">
        <f t="shared" si="65"/>
        <v>8.93506493506493</v>
      </c>
      <c r="HX62" s="23"/>
      <c r="HY62" s="20">
        <v>174</v>
      </c>
      <c r="HZ62" s="10">
        <f>IA62/HY62</f>
        <v>339.2528735632184</v>
      </c>
      <c r="IA62" s="20">
        <v>59030</v>
      </c>
      <c r="IB62" s="20">
        <v>59030</v>
      </c>
      <c r="IC62" s="23">
        <f t="shared" si="276"/>
        <v>-6.951871657754012</v>
      </c>
      <c r="ID62" s="23">
        <f>HZ62*100/HQ62-100</f>
        <v>0.8429301483418072</v>
      </c>
      <c r="IE62" s="23">
        <f t="shared" si="269"/>
        <v>-6.167540931489427</v>
      </c>
      <c r="IF62" s="23">
        <f t="shared" si="270"/>
        <v>-6.167540931489427</v>
      </c>
      <c r="IG62" s="23"/>
      <c r="IH62" s="1" t="s">
        <v>59</v>
      </c>
      <c r="II62" s="29">
        <f t="shared" si="223"/>
        <v>188.7</v>
      </c>
      <c r="IJ62" s="30">
        <f t="shared" si="224"/>
        <v>269.80776867583063</v>
      </c>
      <c r="IK62" s="29">
        <f t="shared" si="225"/>
        <v>51114</v>
      </c>
      <c r="IL62" s="25">
        <f t="shared" si="226"/>
        <v>-0.9009009009008935</v>
      </c>
      <c r="IM62" s="25">
        <f t="shared" si="227"/>
        <v>24.687704120063557</v>
      </c>
      <c r="IN62" s="25">
        <f t="shared" si="228"/>
        <v>23.077826035919713</v>
      </c>
      <c r="IP62" s="30">
        <f>HP62*100/Italia!BR62</f>
        <v>0.8661016164142467</v>
      </c>
      <c r="IQ62" s="30">
        <f>HR62*100/Italia!BT62</f>
        <v>1.065374827009953</v>
      </c>
      <c r="IR62" s="30">
        <f>HS62*100/Italia!BU62</f>
        <v>1.2062756244887565</v>
      </c>
    </row>
    <row r="63" spans="1:252" ht="12">
      <c r="A63" s="1" t="s">
        <v>60</v>
      </c>
      <c r="B63" s="22">
        <v>0.06</v>
      </c>
      <c r="C63" s="10">
        <v>200</v>
      </c>
      <c r="D63" s="11">
        <v>12</v>
      </c>
      <c r="E63" s="9"/>
      <c r="F63" s="22" t="s">
        <v>1</v>
      </c>
      <c r="G63" s="10" t="s">
        <v>1</v>
      </c>
      <c r="H63" s="11" t="s">
        <v>1</v>
      </c>
      <c r="I63" s="23">
        <f t="shared" si="214"/>
        <v>-100</v>
      </c>
      <c r="J63" s="23">
        <f>G63*100/C63-100</f>
        <v>-100</v>
      </c>
      <c r="K63" s="23">
        <f t="shared" si="215"/>
        <v>-100</v>
      </c>
      <c r="L63" s="8"/>
      <c r="M63" s="22">
        <v>1</v>
      </c>
      <c r="N63" s="10">
        <f>O63/M63</f>
        <v>450</v>
      </c>
      <c r="O63" s="11">
        <v>450</v>
      </c>
      <c r="P63" s="23" t="e">
        <f t="shared" si="216"/>
        <v>#DIV/0!</v>
      </c>
      <c r="Q63" s="23" t="e">
        <f t="shared" si="277"/>
        <v>#DIV/0!</v>
      </c>
      <c r="R63" s="23" t="e">
        <f t="shared" si="217"/>
        <v>#DIV/0!</v>
      </c>
      <c r="S63" s="8"/>
      <c r="T63" s="22">
        <v>0</v>
      </c>
      <c r="U63" s="10">
        <v>0</v>
      </c>
      <c r="V63" s="11">
        <v>0</v>
      </c>
      <c r="W63" s="23">
        <f t="shared" si="161"/>
        <v>-100</v>
      </c>
      <c r="X63" s="23">
        <f t="shared" si="278"/>
        <v>-100</v>
      </c>
      <c r="Y63" s="23">
        <f t="shared" si="162"/>
        <v>-100</v>
      </c>
      <c r="Z63" s="8"/>
      <c r="AA63" s="22">
        <v>0</v>
      </c>
      <c r="AB63" s="10">
        <v>0</v>
      </c>
      <c r="AC63" s="11">
        <v>0</v>
      </c>
      <c r="AD63" s="23" t="e">
        <f t="shared" si="163"/>
        <v>#DIV/0!</v>
      </c>
      <c r="AE63" s="23" t="e">
        <f t="shared" si="279"/>
        <v>#DIV/0!</v>
      </c>
      <c r="AF63" s="23" t="e">
        <f t="shared" si="164"/>
        <v>#DIV/0!</v>
      </c>
      <c r="AG63" s="8"/>
      <c r="AH63" s="22">
        <v>0.2</v>
      </c>
      <c r="AI63" s="10">
        <f>AJ63/AH63</f>
        <v>340</v>
      </c>
      <c r="AJ63" s="11">
        <v>68</v>
      </c>
      <c r="AK63" s="23" t="e">
        <f t="shared" si="165"/>
        <v>#DIV/0!</v>
      </c>
      <c r="AL63" s="23" t="e">
        <f t="shared" si="280"/>
        <v>#DIV/0!</v>
      </c>
      <c r="AM63" s="23" t="e">
        <f t="shared" si="166"/>
        <v>#DIV/0!</v>
      </c>
      <c r="AN63" s="8"/>
      <c r="AO63" s="22">
        <v>0.2</v>
      </c>
      <c r="AP63" s="10">
        <f>AQ63/AO63</f>
        <v>330</v>
      </c>
      <c r="AQ63" s="11">
        <v>66</v>
      </c>
      <c r="AR63" s="23">
        <f t="shared" si="167"/>
        <v>0</v>
      </c>
      <c r="AS63" s="23">
        <f t="shared" si="281"/>
        <v>-2.941176470588232</v>
      </c>
      <c r="AT63" s="23">
        <f t="shared" si="168"/>
        <v>-2.941176470588232</v>
      </c>
      <c r="AU63" s="8"/>
      <c r="AV63" s="22">
        <v>0.2</v>
      </c>
      <c r="AW63" s="10">
        <f>66/AV63</f>
        <v>330</v>
      </c>
      <c r="AX63" s="11">
        <v>65</v>
      </c>
      <c r="AY63" s="23">
        <f t="shared" si="169"/>
        <v>0</v>
      </c>
      <c r="AZ63" s="23">
        <f t="shared" si="282"/>
        <v>0</v>
      </c>
      <c r="BA63" s="23">
        <f t="shared" si="170"/>
        <v>-1.5151515151515156</v>
      </c>
      <c r="BB63" s="8"/>
      <c r="BC63" s="22">
        <v>0</v>
      </c>
      <c r="BD63" s="10">
        <v>0</v>
      </c>
      <c r="BE63" s="11">
        <v>0</v>
      </c>
      <c r="BF63" s="23">
        <f t="shared" si="171"/>
        <v>-100</v>
      </c>
      <c r="BG63" s="23">
        <f t="shared" si="283"/>
        <v>-100</v>
      </c>
      <c r="BH63" s="23">
        <f t="shared" si="172"/>
        <v>-100</v>
      </c>
      <c r="BI63" s="8"/>
      <c r="BJ63" s="22">
        <v>0</v>
      </c>
      <c r="BK63" s="10">
        <v>0</v>
      </c>
      <c r="BL63" s="11">
        <v>0</v>
      </c>
      <c r="BM63" s="23" t="e">
        <f t="shared" si="218"/>
        <v>#DIV/0!</v>
      </c>
      <c r="BN63" s="23" t="e">
        <f t="shared" si="284"/>
        <v>#DIV/0!</v>
      </c>
      <c r="BO63" s="23" t="e">
        <f t="shared" si="173"/>
        <v>#DIV/0!</v>
      </c>
      <c r="BP63" s="8"/>
      <c r="BQ63" s="22">
        <v>0</v>
      </c>
      <c r="BR63" s="10">
        <v>0</v>
      </c>
      <c r="BS63" s="11">
        <v>0</v>
      </c>
      <c r="BT63" s="23" t="e">
        <f t="shared" si="219"/>
        <v>#DIV/0!</v>
      </c>
      <c r="BU63" s="23" t="e">
        <f t="shared" si="285"/>
        <v>#DIV/0!</v>
      </c>
      <c r="BV63" s="23" t="e">
        <f t="shared" si="174"/>
        <v>#DIV/0!</v>
      </c>
      <c r="BW63" s="8"/>
      <c r="BX63" s="22">
        <v>15</v>
      </c>
      <c r="BY63" s="10">
        <f>BZ63/BX63</f>
        <v>300</v>
      </c>
      <c r="BZ63" s="11">
        <v>4500</v>
      </c>
      <c r="CA63" s="23" t="e">
        <f t="shared" si="175"/>
        <v>#DIV/0!</v>
      </c>
      <c r="CB63" s="23" t="e">
        <f t="shared" si="286"/>
        <v>#DIV/0!</v>
      </c>
      <c r="CC63" s="23" t="e">
        <f t="shared" si="176"/>
        <v>#DIV/0!</v>
      </c>
      <c r="CD63" s="8"/>
      <c r="CE63" s="22">
        <v>15.4</v>
      </c>
      <c r="CF63" s="10">
        <f>CG63/CE63</f>
        <v>296.1038961038961</v>
      </c>
      <c r="CG63" s="11">
        <v>4560</v>
      </c>
      <c r="CH63" s="23">
        <f t="shared" si="177"/>
        <v>2.6666666666666714</v>
      </c>
      <c r="CI63" s="23">
        <f t="shared" si="287"/>
        <v>-1.2987012987013031</v>
      </c>
      <c r="CJ63" s="23">
        <f t="shared" si="178"/>
        <v>1.3333333333333286</v>
      </c>
      <c r="CK63" s="8"/>
      <c r="CL63" s="22">
        <v>15.4</v>
      </c>
      <c r="CM63" s="10">
        <f>CN63/CL63</f>
        <v>296.3636363636364</v>
      </c>
      <c r="CN63" s="11">
        <v>4564</v>
      </c>
      <c r="CO63" s="23">
        <f t="shared" si="179"/>
        <v>0</v>
      </c>
      <c r="CP63" s="23">
        <f t="shared" si="288"/>
        <v>0.08771929824561653</v>
      </c>
      <c r="CQ63" s="23">
        <f t="shared" si="180"/>
        <v>0.08771929824561653</v>
      </c>
      <c r="CR63" s="8"/>
      <c r="CS63" s="22">
        <v>0</v>
      </c>
      <c r="CT63" s="10">
        <v>0</v>
      </c>
      <c r="CU63" s="11">
        <v>0</v>
      </c>
      <c r="CV63" s="23">
        <f t="shared" si="181"/>
        <v>-100</v>
      </c>
      <c r="CW63" s="23">
        <f t="shared" si="289"/>
        <v>-100</v>
      </c>
      <c r="CX63" s="23">
        <f t="shared" si="182"/>
        <v>-100</v>
      </c>
      <c r="CY63" s="8"/>
      <c r="CZ63" s="22">
        <v>0</v>
      </c>
      <c r="DA63" s="10">
        <v>0</v>
      </c>
      <c r="DB63" s="11">
        <v>0</v>
      </c>
      <c r="DC63" s="23" t="e">
        <f t="shared" si="183"/>
        <v>#DIV/0!</v>
      </c>
      <c r="DD63" s="23" t="e">
        <f t="shared" si="290"/>
        <v>#DIV/0!</v>
      </c>
      <c r="DE63" s="23" t="e">
        <f t="shared" si="184"/>
        <v>#DIV/0!</v>
      </c>
      <c r="DF63" s="8"/>
      <c r="DG63" s="22">
        <v>0</v>
      </c>
      <c r="DH63" s="10">
        <v>0</v>
      </c>
      <c r="DI63" s="11">
        <v>0</v>
      </c>
      <c r="DJ63" s="23" t="e">
        <f t="shared" si="185"/>
        <v>#DIV/0!</v>
      </c>
      <c r="DK63" s="23" t="e">
        <f t="shared" si="291"/>
        <v>#DIV/0!</v>
      </c>
      <c r="DL63" s="23" t="e">
        <f t="shared" si="186"/>
        <v>#DIV/0!</v>
      </c>
      <c r="DM63" s="8"/>
      <c r="DN63" s="22">
        <v>1</v>
      </c>
      <c r="DO63" s="10">
        <f>DP63/DN63</f>
        <v>170</v>
      </c>
      <c r="DP63" s="11">
        <v>170</v>
      </c>
      <c r="DQ63" s="23" t="e">
        <f t="shared" si="187"/>
        <v>#DIV/0!</v>
      </c>
      <c r="DR63" s="23" t="e">
        <f t="shared" si="292"/>
        <v>#DIV/0!</v>
      </c>
      <c r="DS63" s="23" t="e">
        <f t="shared" si="188"/>
        <v>#DIV/0!</v>
      </c>
      <c r="DT63" s="8"/>
      <c r="DU63" s="22">
        <v>4</v>
      </c>
      <c r="DV63" s="10">
        <f>DW63/DU63</f>
        <v>362.5</v>
      </c>
      <c r="DW63" s="11">
        <v>1450</v>
      </c>
      <c r="DX63" s="23">
        <f t="shared" si="189"/>
        <v>300</v>
      </c>
      <c r="DY63" s="23">
        <f t="shared" si="293"/>
        <v>113.23529411764707</v>
      </c>
      <c r="DZ63" s="23">
        <f t="shared" si="190"/>
        <v>752.9411764705883</v>
      </c>
      <c r="EA63" s="8"/>
      <c r="EB63" s="22">
        <v>0.5</v>
      </c>
      <c r="EC63" s="10">
        <f>ED63/EB63</f>
        <v>250</v>
      </c>
      <c r="ED63" s="11">
        <v>125</v>
      </c>
      <c r="EE63" s="23">
        <f t="shared" si="191"/>
        <v>-87.5</v>
      </c>
      <c r="EF63" s="23">
        <f t="shared" si="294"/>
        <v>-31.034482758620683</v>
      </c>
      <c r="EG63" s="23">
        <f t="shared" si="192"/>
        <v>-91.37931034482759</v>
      </c>
      <c r="EH63" s="8"/>
      <c r="EI63" s="22">
        <v>0.5</v>
      </c>
      <c r="EJ63" s="10">
        <f>EK63/EI63</f>
        <v>250</v>
      </c>
      <c r="EK63" s="11">
        <v>125</v>
      </c>
      <c r="EL63" s="23">
        <f t="shared" si="193"/>
        <v>0</v>
      </c>
      <c r="EM63" s="23">
        <f t="shared" si="295"/>
        <v>0</v>
      </c>
      <c r="EN63" s="23">
        <f t="shared" si="194"/>
        <v>0</v>
      </c>
      <c r="EO63" s="8"/>
      <c r="EP63" s="22">
        <v>1</v>
      </c>
      <c r="EQ63" s="10">
        <f>ER63/EP63</f>
        <v>200</v>
      </c>
      <c r="ER63" s="11">
        <v>200</v>
      </c>
      <c r="ES63" s="23">
        <f t="shared" si="195"/>
        <v>100</v>
      </c>
      <c r="ET63" s="23">
        <f t="shared" si="296"/>
        <v>-20</v>
      </c>
      <c r="EU63" s="23">
        <f t="shared" si="196"/>
        <v>60</v>
      </c>
      <c r="EV63" s="8"/>
      <c r="EW63" s="22">
        <v>1</v>
      </c>
      <c r="EX63" s="10">
        <f t="shared" si="265"/>
        <v>200</v>
      </c>
      <c r="EY63" s="11">
        <v>200</v>
      </c>
      <c r="EZ63" s="11">
        <v>200</v>
      </c>
      <c r="FA63" s="23">
        <f t="shared" si="198"/>
        <v>0</v>
      </c>
      <c r="FB63" s="23">
        <f t="shared" si="297"/>
        <v>0</v>
      </c>
      <c r="FC63" s="23">
        <f t="shared" si="199"/>
        <v>0</v>
      </c>
      <c r="FD63" s="8"/>
      <c r="FE63" s="22">
        <v>1</v>
      </c>
      <c r="FF63" s="10">
        <f t="shared" si="229"/>
        <v>500</v>
      </c>
      <c r="FG63" s="11">
        <v>500</v>
      </c>
      <c r="FH63" s="11">
        <v>500</v>
      </c>
      <c r="FI63" s="23">
        <f t="shared" si="266"/>
        <v>0</v>
      </c>
      <c r="FJ63" s="23">
        <f t="shared" si="271"/>
        <v>150</v>
      </c>
      <c r="FK63" s="23">
        <f t="shared" si="271"/>
        <v>150</v>
      </c>
      <c r="FL63" s="23">
        <f t="shared" si="267"/>
        <v>150</v>
      </c>
      <c r="FM63" s="23"/>
      <c r="FN63" s="22">
        <v>2</v>
      </c>
      <c r="FO63" s="10">
        <f t="shared" si="220"/>
        <v>500</v>
      </c>
      <c r="FP63" s="11">
        <v>1000</v>
      </c>
      <c r="FQ63" s="11">
        <v>1000</v>
      </c>
      <c r="FR63" s="23">
        <f t="shared" si="298"/>
        <v>100</v>
      </c>
      <c r="FS63" s="23">
        <f t="shared" si="298"/>
        <v>0</v>
      </c>
      <c r="FT63" s="23">
        <f t="shared" si="53"/>
        <v>100</v>
      </c>
      <c r="FU63" s="23">
        <f t="shared" si="53"/>
        <v>100</v>
      </c>
      <c r="FV63" s="23"/>
      <c r="FW63" s="22">
        <v>2.5</v>
      </c>
      <c r="FX63" s="10">
        <f>FY63/FW63</f>
        <v>450</v>
      </c>
      <c r="FY63" s="20">
        <v>1125</v>
      </c>
      <c r="FZ63" s="20">
        <v>1125</v>
      </c>
      <c r="GA63" s="23">
        <f t="shared" si="299"/>
        <v>25</v>
      </c>
      <c r="GB63" s="23">
        <f t="shared" si="299"/>
        <v>-10</v>
      </c>
      <c r="GC63" s="23">
        <f t="shared" si="299"/>
        <v>12.5</v>
      </c>
      <c r="GD63" s="23">
        <f t="shared" si="299"/>
        <v>12.5</v>
      </c>
      <c r="GE63" s="23"/>
      <c r="GF63" s="22">
        <v>0</v>
      </c>
      <c r="GG63" s="22">
        <v>0</v>
      </c>
      <c r="GH63" s="22">
        <v>0</v>
      </c>
      <c r="GI63" s="22">
        <v>0</v>
      </c>
      <c r="GJ63" s="35" t="s">
        <v>1</v>
      </c>
      <c r="GK63" s="35" t="s">
        <v>1</v>
      </c>
      <c r="GL63" s="35" t="s">
        <v>1</v>
      </c>
      <c r="GM63" s="35" t="s">
        <v>1</v>
      </c>
      <c r="GN63" s="35" t="s">
        <v>1</v>
      </c>
      <c r="GO63" s="35" t="s">
        <v>1</v>
      </c>
      <c r="GP63" s="35" t="s">
        <v>1</v>
      </c>
      <c r="GQ63" s="35" t="s">
        <v>1</v>
      </c>
      <c r="GR63" s="35" t="s">
        <v>1</v>
      </c>
      <c r="GS63" s="35" t="s">
        <v>1</v>
      </c>
      <c r="GT63" s="35" t="s">
        <v>1</v>
      </c>
      <c r="GU63" s="35" t="s">
        <v>1</v>
      </c>
      <c r="GV63" s="35" t="s">
        <v>1</v>
      </c>
      <c r="GW63" s="23"/>
      <c r="GX63" s="35" t="s">
        <v>1</v>
      </c>
      <c r="GY63" s="35" t="s">
        <v>1</v>
      </c>
      <c r="GZ63" s="35" t="s">
        <v>1</v>
      </c>
      <c r="HA63" s="35" t="s">
        <v>1</v>
      </c>
      <c r="HB63" s="35" t="s">
        <v>1</v>
      </c>
      <c r="HC63" s="35" t="s">
        <v>1</v>
      </c>
      <c r="HD63" s="35" t="s">
        <v>1</v>
      </c>
      <c r="HE63" s="35" t="s">
        <v>1</v>
      </c>
      <c r="HF63" s="23"/>
      <c r="HG63" s="35" t="s">
        <v>1</v>
      </c>
      <c r="HH63" s="35" t="s">
        <v>1</v>
      </c>
      <c r="HI63" s="35" t="s">
        <v>1</v>
      </c>
      <c r="HJ63" s="35" t="s">
        <v>1</v>
      </c>
      <c r="HK63" s="35" t="s">
        <v>1</v>
      </c>
      <c r="HL63" s="35" t="s">
        <v>1</v>
      </c>
      <c r="HM63" s="35" t="s">
        <v>1</v>
      </c>
      <c r="HN63" s="35" t="s">
        <v>1</v>
      </c>
      <c r="HO63" s="23"/>
      <c r="HP63" s="35" t="s">
        <v>1</v>
      </c>
      <c r="HQ63" s="35" t="s">
        <v>1</v>
      </c>
      <c r="HR63" s="35" t="s">
        <v>1</v>
      </c>
      <c r="HS63" s="35" t="s">
        <v>1</v>
      </c>
      <c r="HT63" s="35" t="s">
        <v>1</v>
      </c>
      <c r="HU63" s="35" t="s">
        <v>1</v>
      </c>
      <c r="HV63" s="35" t="s">
        <v>1</v>
      </c>
      <c r="HW63" s="35" t="s">
        <v>1</v>
      </c>
      <c r="HX63" s="23"/>
      <c r="HY63" s="35" t="s">
        <v>1</v>
      </c>
      <c r="HZ63" s="35" t="s">
        <v>1</v>
      </c>
      <c r="IA63" s="35" t="s">
        <v>1</v>
      </c>
      <c r="IB63" s="35" t="s">
        <v>1</v>
      </c>
      <c r="IC63" s="35" t="s">
        <v>1</v>
      </c>
      <c r="ID63" s="35" t="s">
        <v>1</v>
      </c>
      <c r="IE63" s="35" t="s">
        <v>1</v>
      </c>
      <c r="IF63" s="35" t="s">
        <v>1</v>
      </c>
      <c r="IG63" s="23"/>
      <c r="IH63" s="1" t="s">
        <v>60</v>
      </c>
      <c r="II63" s="29">
        <f t="shared" si="223"/>
        <v>1.1428571428571428</v>
      </c>
      <c r="IJ63" s="30">
        <f t="shared" si="224"/>
        <v>300</v>
      </c>
      <c r="IK63" s="29">
        <f t="shared" si="225"/>
        <v>450</v>
      </c>
      <c r="IL63" s="25">
        <f t="shared" si="226"/>
        <v>-100</v>
      </c>
      <c r="IM63" s="25">
        <f t="shared" si="227"/>
        <v>-100</v>
      </c>
      <c r="IN63" s="25">
        <f t="shared" si="228"/>
        <v>-100</v>
      </c>
      <c r="IP63" s="30">
        <f>HP63*100/Italia!BR63</f>
        <v>0</v>
      </c>
      <c r="IQ63" s="30">
        <f>HR63*100/Italia!BT63</f>
        <v>0</v>
      </c>
      <c r="IR63" s="30">
        <f>HS63*100/Italia!BU63</f>
        <v>0</v>
      </c>
    </row>
    <row r="64" spans="1:252" ht="12">
      <c r="A64" s="1" t="s">
        <v>61</v>
      </c>
      <c r="B64" s="19">
        <f>B63+B62</f>
        <v>486.06</v>
      </c>
      <c r="C64" s="6" t="s">
        <v>1</v>
      </c>
      <c r="D64" s="9">
        <f>D63+D62</f>
        <v>156912</v>
      </c>
      <c r="E64" s="9"/>
      <c r="F64" s="19">
        <f>F63+F62</f>
        <v>509</v>
      </c>
      <c r="G64" s="6" t="s">
        <v>1</v>
      </c>
      <c r="H64" s="9">
        <f>H63+H62</f>
        <v>165300</v>
      </c>
      <c r="I64" s="23">
        <f t="shared" si="214"/>
        <v>4.719581944615896</v>
      </c>
      <c r="J64" s="24" t="s">
        <v>1</v>
      </c>
      <c r="K64" s="23">
        <f t="shared" si="215"/>
        <v>5.345671459161821</v>
      </c>
      <c r="L64" s="8"/>
      <c r="M64" s="19">
        <f>M62+M63</f>
        <v>481</v>
      </c>
      <c r="N64" s="6" t="s">
        <v>1</v>
      </c>
      <c r="O64" s="9">
        <f>O63+O62</f>
        <v>133450</v>
      </c>
      <c r="P64" s="23">
        <f t="shared" si="216"/>
        <v>-5.500982318271113</v>
      </c>
      <c r="Q64" s="24" t="e">
        <f t="shared" si="277"/>
        <v>#DIV/0!</v>
      </c>
      <c r="R64" s="23">
        <f t="shared" si="217"/>
        <v>-19.267997580157285</v>
      </c>
      <c r="S64" s="8"/>
      <c r="T64" s="19">
        <f>T63+T62</f>
        <v>518</v>
      </c>
      <c r="U64" s="6" t="s">
        <v>1</v>
      </c>
      <c r="V64" s="9">
        <f>V63+V62</f>
        <v>143200</v>
      </c>
      <c r="W64" s="23">
        <f t="shared" si="161"/>
        <v>7.692307692307693</v>
      </c>
      <c r="X64" s="24" t="e">
        <f t="shared" si="278"/>
        <v>#DIV/0!</v>
      </c>
      <c r="Y64" s="23">
        <f t="shared" si="162"/>
        <v>7.306107156238298</v>
      </c>
      <c r="Z64" s="8"/>
      <c r="AA64" s="19">
        <f>AA63+AA62</f>
        <v>509</v>
      </c>
      <c r="AB64" s="6" t="s">
        <v>1</v>
      </c>
      <c r="AC64" s="9">
        <f>AC63+AC62</f>
        <v>131200</v>
      </c>
      <c r="AD64" s="23">
        <f t="shared" si="163"/>
        <v>-1.7374517374517353</v>
      </c>
      <c r="AE64" s="24" t="e">
        <f t="shared" si="279"/>
        <v>#DIV/0!</v>
      </c>
      <c r="AF64" s="23">
        <f t="shared" si="164"/>
        <v>-8.37988826815642</v>
      </c>
      <c r="AG64" s="8"/>
      <c r="AH64" s="19">
        <f>AH62+AH63</f>
        <v>490.2</v>
      </c>
      <c r="AI64" s="6" t="s">
        <v>1</v>
      </c>
      <c r="AJ64" s="9">
        <f>AJ63+AJ62</f>
        <v>128568</v>
      </c>
      <c r="AK64" s="23">
        <f t="shared" si="165"/>
        <v>-3.6935166994106083</v>
      </c>
      <c r="AL64" s="24" t="e">
        <f t="shared" si="280"/>
        <v>#DIV/0!</v>
      </c>
      <c r="AM64" s="23">
        <f t="shared" si="166"/>
        <v>-2.006097560975604</v>
      </c>
      <c r="AN64" s="8"/>
      <c r="AO64" s="19">
        <f>AO63+AO62</f>
        <v>501.2</v>
      </c>
      <c r="AP64" s="6" t="s">
        <v>1</v>
      </c>
      <c r="AQ64" s="9">
        <f>AQ63+AQ62</f>
        <v>137066</v>
      </c>
      <c r="AR64" s="23">
        <f t="shared" si="167"/>
        <v>2.2439820481436215</v>
      </c>
      <c r="AS64" s="24" t="e">
        <f t="shared" si="281"/>
        <v>#DIV/0!</v>
      </c>
      <c r="AT64" s="23">
        <f t="shared" si="168"/>
        <v>6.609731815070617</v>
      </c>
      <c r="AU64" s="8"/>
      <c r="AV64" s="19">
        <f>AV63+AV62</f>
        <v>425.2</v>
      </c>
      <c r="AW64" s="6" t="s">
        <v>1</v>
      </c>
      <c r="AX64" s="9">
        <f>AX63+AX62</f>
        <v>117693</v>
      </c>
      <c r="AY64" s="23">
        <f t="shared" si="169"/>
        <v>-15.163607342378285</v>
      </c>
      <c r="AZ64" s="24" t="e">
        <f t="shared" si="282"/>
        <v>#DIV/0!</v>
      </c>
      <c r="BA64" s="23">
        <f t="shared" si="170"/>
        <v>-14.134066799935795</v>
      </c>
      <c r="BB64" s="8"/>
      <c r="BC64" s="19">
        <f>BC63+BC62</f>
        <v>386</v>
      </c>
      <c r="BD64" s="6" t="s">
        <v>1</v>
      </c>
      <c r="BE64" s="9">
        <f>BE63+BE62</f>
        <v>100322</v>
      </c>
      <c r="BF64" s="23">
        <f t="shared" si="171"/>
        <v>-9.219190968955786</v>
      </c>
      <c r="BG64" s="24" t="e">
        <f t="shared" si="283"/>
        <v>#DIV/0!</v>
      </c>
      <c r="BH64" s="23">
        <f t="shared" si="172"/>
        <v>-14.75958638151802</v>
      </c>
      <c r="BI64" s="8"/>
      <c r="BJ64" s="19">
        <f>BJ63+BJ62</f>
        <v>378</v>
      </c>
      <c r="BK64" s="6" t="s">
        <v>57</v>
      </c>
      <c r="BL64" s="9">
        <f>BL63+BL62</f>
        <v>100119</v>
      </c>
      <c r="BM64" s="23">
        <f t="shared" si="218"/>
        <v>-2.07253886010362</v>
      </c>
      <c r="BN64" s="24" t="e">
        <f t="shared" si="284"/>
        <v>#DIV/0!</v>
      </c>
      <c r="BO64" s="23">
        <f t="shared" si="173"/>
        <v>-0.20234843802954572</v>
      </c>
      <c r="BP64" s="8"/>
      <c r="BQ64" s="19">
        <f>BQ63+BQ62</f>
        <v>370</v>
      </c>
      <c r="BR64" s="6" t="s">
        <v>1</v>
      </c>
      <c r="BS64" s="9">
        <f>BS63+BS62</f>
        <v>95484</v>
      </c>
      <c r="BT64" s="23">
        <f t="shared" si="219"/>
        <v>-2.1164021164021136</v>
      </c>
      <c r="BU64" s="24" t="e">
        <f t="shared" si="285"/>
        <v>#DIV/0!</v>
      </c>
      <c r="BV64" s="23">
        <f t="shared" si="174"/>
        <v>-4.629490905822067</v>
      </c>
      <c r="BW64" s="8"/>
      <c r="BX64" s="19">
        <f>BX63+BX62</f>
        <v>359</v>
      </c>
      <c r="BY64" s="6" t="s">
        <v>1</v>
      </c>
      <c r="BZ64" s="9">
        <f>BZ62+BZ63</f>
        <v>89613</v>
      </c>
      <c r="CA64" s="23">
        <f t="shared" si="175"/>
        <v>-2.9729729729729684</v>
      </c>
      <c r="CB64" s="24" t="e">
        <f t="shared" si="286"/>
        <v>#DIV/0!</v>
      </c>
      <c r="CC64" s="23">
        <f t="shared" si="176"/>
        <v>-6.148674123413343</v>
      </c>
      <c r="CD64" s="8"/>
      <c r="CE64" s="19">
        <f>CE63+CE62</f>
        <v>358.4</v>
      </c>
      <c r="CF64" s="6" t="s">
        <v>1</v>
      </c>
      <c r="CG64" s="9">
        <f>CG63+CG62</f>
        <v>87450</v>
      </c>
      <c r="CH64" s="23">
        <f t="shared" si="177"/>
        <v>-0.16713091922005674</v>
      </c>
      <c r="CI64" s="24" t="e">
        <f t="shared" si="287"/>
        <v>#DIV/0!</v>
      </c>
      <c r="CJ64" s="23">
        <f t="shared" si="178"/>
        <v>-2.4137122962070237</v>
      </c>
      <c r="CK64" s="8"/>
      <c r="CL64" s="19">
        <f>CL63+CL62</f>
        <v>360.4</v>
      </c>
      <c r="CM64" s="6" t="s">
        <v>1</v>
      </c>
      <c r="CN64" s="9">
        <f>CN63+CN62</f>
        <v>86516</v>
      </c>
      <c r="CO64" s="23">
        <f t="shared" si="179"/>
        <v>0.5580357142857224</v>
      </c>
      <c r="CP64" s="24" t="e">
        <f t="shared" si="288"/>
        <v>#DIV/0!</v>
      </c>
      <c r="CQ64" s="23">
        <f t="shared" si="180"/>
        <v>-1.0680388793596336</v>
      </c>
      <c r="CR64" s="8"/>
      <c r="CS64" s="19">
        <f>CS63+CS62</f>
        <v>353</v>
      </c>
      <c r="CT64" s="6" t="s">
        <v>1</v>
      </c>
      <c r="CU64" s="9">
        <f>CU63+CU62</f>
        <v>78433</v>
      </c>
      <c r="CV64" s="23">
        <f t="shared" si="181"/>
        <v>-2.0532741398446177</v>
      </c>
      <c r="CW64" s="24" t="e">
        <f t="shared" si="289"/>
        <v>#DIV/0!</v>
      </c>
      <c r="CX64" s="23">
        <f t="shared" si="182"/>
        <v>-9.342780526145447</v>
      </c>
      <c r="CY64" s="8"/>
      <c r="CZ64" s="19">
        <f>CZ63+CZ62</f>
        <v>351</v>
      </c>
      <c r="DA64" s="6" t="s">
        <v>1</v>
      </c>
      <c r="DB64" s="9">
        <f>DB63+DB62</f>
        <v>82265</v>
      </c>
      <c r="DC64" s="23">
        <f t="shared" si="183"/>
        <v>-0.5665722379603437</v>
      </c>
      <c r="DD64" s="24" t="e">
        <f t="shared" si="290"/>
        <v>#DIV/0!</v>
      </c>
      <c r="DE64" s="23">
        <f t="shared" si="184"/>
        <v>4.885698621753605</v>
      </c>
      <c r="DF64" s="8"/>
      <c r="DG64" s="19">
        <f>DG63+DG62</f>
        <v>354</v>
      </c>
      <c r="DH64" s="6" t="s">
        <v>1</v>
      </c>
      <c r="DI64" s="9">
        <f>DI63+DI62</f>
        <v>80850</v>
      </c>
      <c r="DJ64" s="23">
        <f t="shared" si="185"/>
        <v>0.8547008547008517</v>
      </c>
      <c r="DK64" s="24" t="e">
        <f t="shared" si="291"/>
        <v>#DIV/0!</v>
      </c>
      <c r="DL64" s="23">
        <f t="shared" si="186"/>
        <v>-1.7200510545189331</v>
      </c>
      <c r="DM64" s="8"/>
      <c r="DN64" s="19">
        <f>DN63+DN62</f>
        <v>341</v>
      </c>
      <c r="DO64" s="6" t="s">
        <v>1</v>
      </c>
      <c r="DP64" s="9">
        <f>DP63+DP62</f>
        <v>78550</v>
      </c>
      <c r="DQ64" s="23">
        <f t="shared" si="187"/>
        <v>-3.672316384180789</v>
      </c>
      <c r="DR64" s="24" t="e">
        <f t="shared" si="292"/>
        <v>#DIV/0!</v>
      </c>
      <c r="DS64" s="23">
        <f t="shared" si="188"/>
        <v>-2.844774273345706</v>
      </c>
      <c r="DT64" s="8"/>
      <c r="DU64" s="19">
        <f>DU63+DU62</f>
        <v>246</v>
      </c>
      <c r="DV64" s="6" t="s">
        <v>1</v>
      </c>
      <c r="DW64" s="9">
        <f>DW63+DW62</f>
        <v>58140</v>
      </c>
      <c r="DX64" s="23">
        <f t="shared" si="189"/>
        <v>-27.85923753665689</v>
      </c>
      <c r="DY64" s="24" t="e">
        <f t="shared" si="293"/>
        <v>#DIV/0!</v>
      </c>
      <c r="DZ64" s="23">
        <f t="shared" si="190"/>
        <v>-25.983450031826862</v>
      </c>
      <c r="EA64" s="8"/>
      <c r="EB64" s="19">
        <f>EB63+EB62</f>
        <v>245.5</v>
      </c>
      <c r="EC64" s="6" t="s">
        <v>1</v>
      </c>
      <c r="ED64" s="9">
        <f>ED63+ED62</f>
        <v>69075</v>
      </c>
      <c r="EE64" s="23">
        <f t="shared" si="191"/>
        <v>-0.2032520325203251</v>
      </c>
      <c r="EF64" s="24" t="e">
        <f t="shared" si="294"/>
        <v>#DIV/0!</v>
      </c>
      <c r="EG64" s="23">
        <f t="shared" si="192"/>
        <v>18.808049535603715</v>
      </c>
      <c r="EH64" s="8"/>
      <c r="EI64" s="19">
        <f>EI63+EI62</f>
        <v>253.5</v>
      </c>
      <c r="EJ64" s="6" t="s">
        <v>1</v>
      </c>
      <c r="EK64" s="9">
        <f>EK63+EK62</f>
        <v>72585</v>
      </c>
      <c r="EL64" s="23">
        <f t="shared" si="193"/>
        <v>3.2586558044806537</v>
      </c>
      <c r="EM64" s="24" t="e">
        <f t="shared" si="295"/>
        <v>#DIV/0!</v>
      </c>
      <c r="EN64" s="23">
        <f t="shared" si="194"/>
        <v>5.081433224755699</v>
      </c>
      <c r="EO64" s="8"/>
      <c r="EP64" s="19">
        <f>EP63+EP62</f>
        <v>210</v>
      </c>
      <c r="EQ64" s="6" t="s">
        <v>1</v>
      </c>
      <c r="ER64" s="9">
        <f>ER63+ER62</f>
        <v>59940</v>
      </c>
      <c r="ES64" s="23">
        <f t="shared" si="195"/>
        <v>-17.159763313609474</v>
      </c>
      <c r="ET64" s="24" t="e">
        <f t="shared" si="296"/>
        <v>#DIV/0!</v>
      </c>
      <c r="EU64" s="23">
        <f t="shared" si="196"/>
        <v>-17.420954742715438</v>
      </c>
      <c r="EV64" s="8"/>
      <c r="EW64" s="19">
        <f>EW63+EW62</f>
        <v>201</v>
      </c>
      <c r="EX64" s="10">
        <f t="shared" si="265"/>
        <v>263.13432835820896</v>
      </c>
      <c r="EY64" s="9">
        <f>EY63+EY62</f>
        <v>52890</v>
      </c>
      <c r="EZ64" s="9">
        <f>EZ63+EZ62</f>
        <v>52890</v>
      </c>
      <c r="FA64" s="23">
        <f t="shared" si="198"/>
        <v>-4.285714285714292</v>
      </c>
      <c r="FB64" s="24" t="s">
        <v>1</v>
      </c>
      <c r="FC64" s="23">
        <f t="shared" si="199"/>
        <v>-11.761761761761761</v>
      </c>
      <c r="FD64" s="8"/>
      <c r="FE64" s="19">
        <f>FE63+FE62</f>
        <v>204</v>
      </c>
      <c r="FF64" s="10">
        <f t="shared" si="229"/>
        <v>263.62745098039215</v>
      </c>
      <c r="FG64" s="9">
        <f>FG63+FG62</f>
        <v>53780</v>
      </c>
      <c r="FH64" s="9">
        <f>FH63+FH62</f>
        <v>53780</v>
      </c>
      <c r="FI64" s="23">
        <f t="shared" si="266"/>
        <v>1.492537313432834</v>
      </c>
      <c r="FJ64" s="23">
        <f t="shared" si="271"/>
        <v>0.18740337882175595</v>
      </c>
      <c r="FK64" s="23">
        <f t="shared" si="271"/>
        <v>1.6827377576101412</v>
      </c>
      <c r="FL64" s="23">
        <f t="shared" si="267"/>
        <v>1.6827377576101412</v>
      </c>
      <c r="FM64" s="23"/>
      <c r="FN64" s="19">
        <f>FN63+FN62</f>
        <v>186</v>
      </c>
      <c r="FO64" s="6" t="s">
        <v>1</v>
      </c>
      <c r="FP64" s="19">
        <f>FP62+FP63</f>
        <v>46880</v>
      </c>
      <c r="FQ64" s="9">
        <f>FQ63+FQ62</f>
        <v>46560</v>
      </c>
      <c r="FR64" s="23">
        <f t="shared" si="298"/>
        <v>-8.82352941176471</v>
      </c>
      <c r="FS64" s="23">
        <f t="shared" si="298"/>
        <v>-100</v>
      </c>
      <c r="FT64" s="23">
        <f t="shared" si="53"/>
        <v>-12.830048345109702</v>
      </c>
      <c r="FU64" s="23">
        <f t="shared" si="53"/>
        <v>-13.425065079955374</v>
      </c>
      <c r="FV64" s="23"/>
      <c r="FW64" s="19">
        <f>FW63+FW62</f>
        <v>164.5</v>
      </c>
      <c r="FX64" s="6" t="s">
        <v>1</v>
      </c>
      <c r="FY64" s="19">
        <f>FY63+FY62</f>
        <v>38725</v>
      </c>
      <c r="FZ64" s="19">
        <f>FZ63+FZ62</f>
        <v>38725</v>
      </c>
      <c r="GA64" s="23">
        <f t="shared" si="299"/>
        <v>-11.55913978494624</v>
      </c>
      <c r="GB64" s="23" t="e">
        <f t="shared" si="299"/>
        <v>#DIV/0!</v>
      </c>
      <c r="GC64" s="23">
        <f t="shared" si="299"/>
        <v>-17.395477815699664</v>
      </c>
      <c r="GD64" s="23">
        <f t="shared" si="299"/>
        <v>-16.827749140893474</v>
      </c>
      <c r="GE64" s="23"/>
      <c r="GF64" s="19">
        <f>GF63+GF62</f>
        <v>164</v>
      </c>
      <c r="GG64" s="6" t="s">
        <v>1</v>
      </c>
      <c r="GH64" s="19">
        <f>GH63+GH62</f>
        <v>40400</v>
      </c>
      <c r="GI64" s="19">
        <f>GI63+GI62</f>
        <v>40400</v>
      </c>
      <c r="GJ64" s="23">
        <f t="shared" si="300"/>
        <v>-0.3039513677811527</v>
      </c>
      <c r="GK64" s="23" t="e">
        <f t="shared" si="300"/>
        <v>#DIV/0!</v>
      </c>
      <c r="GL64" s="23">
        <f t="shared" si="57"/>
        <v>4.325371207230475</v>
      </c>
      <c r="GM64" s="23">
        <f t="shared" si="57"/>
        <v>4.325371207230475</v>
      </c>
      <c r="GN64" s="23"/>
      <c r="GO64" s="19">
        <f>GO63+GO62</f>
        <v>157</v>
      </c>
      <c r="GP64" s="6" t="s">
        <v>1</v>
      </c>
      <c r="GQ64" s="19">
        <f>GQ63+GQ62</f>
        <v>42580</v>
      </c>
      <c r="GR64" s="19">
        <f>GR63+GR62</f>
        <v>42580</v>
      </c>
      <c r="GS64" s="23">
        <f t="shared" si="301"/>
        <v>-4.268292682926827</v>
      </c>
      <c r="GT64" s="23" t="e">
        <f t="shared" si="301"/>
        <v>#DIV/0!</v>
      </c>
      <c r="GU64" s="23">
        <f t="shared" si="59"/>
        <v>5.396039603960389</v>
      </c>
      <c r="GV64" s="23">
        <f t="shared" si="60"/>
        <v>5.396039603960389</v>
      </c>
      <c r="GW64" s="23"/>
      <c r="GX64" s="19">
        <f>GX63+GX62</f>
        <v>168</v>
      </c>
      <c r="GY64" s="6" t="s">
        <v>1</v>
      </c>
      <c r="GZ64" s="19">
        <f>GZ63+GZ62</f>
        <v>49080</v>
      </c>
      <c r="HA64" s="19">
        <f>HA63+HA62</f>
        <v>49080</v>
      </c>
      <c r="HB64" s="23">
        <f t="shared" si="302"/>
        <v>7.00636942675159</v>
      </c>
      <c r="HC64" s="23" t="e">
        <f t="shared" si="303"/>
        <v>#DIV/0!</v>
      </c>
      <c r="HD64" s="23">
        <f t="shared" si="62"/>
        <v>15.265382808830438</v>
      </c>
      <c r="HE64" s="23">
        <f t="shared" si="63"/>
        <v>15.265382808830438</v>
      </c>
      <c r="HF64" s="23"/>
      <c r="HG64" s="19">
        <f>HG63+HG62</f>
        <v>187</v>
      </c>
      <c r="HH64" s="6" t="s">
        <v>1</v>
      </c>
      <c r="HI64" s="19">
        <f>HI63+HI62</f>
        <v>57750</v>
      </c>
      <c r="HJ64" s="19">
        <f>HJ63+HJ62</f>
        <v>57750</v>
      </c>
      <c r="HK64" s="23">
        <f t="shared" si="304"/>
        <v>11.30952380952381</v>
      </c>
      <c r="HL64" s="23" t="e">
        <f t="shared" si="305"/>
        <v>#DIV/0!</v>
      </c>
      <c r="HM64" s="23">
        <f t="shared" si="105"/>
        <v>17.66503667481662</v>
      </c>
      <c r="HN64" s="23">
        <f t="shared" si="106"/>
        <v>17.66503667481662</v>
      </c>
      <c r="HO64" s="23"/>
      <c r="HP64" s="19">
        <f>HP63+HP62</f>
        <v>187</v>
      </c>
      <c r="HQ64" s="6" t="s">
        <v>1</v>
      </c>
      <c r="HR64" s="19">
        <f>HR63+HR62</f>
        <v>62910</v>
      </c>
      <c r="HS64" s="19">
        <f>HS63+HS62</f>
        <v>62910</v>
      </c>
      <c r="HT64" s="23">
        <f t="shared" si="306"/>
        <v>0</v>
      </c>
      <c r="HU64" s="23" t="e">
        <f t="shared" si="307"/>
        <v>#DIV/0!</v>
      </c>
      <c r="HV64" s="23">
        <f t="shared" si="64"/>
        <v>8.93506493506493</v>
      </c>
      <c r="HW64" s="23">
        <f t="shared" si="65"/>
        <v>8.93506493506493</v>
      </c>
      <c r="HX64" s="23"/>
      <c r="HY64" s="19">
        <f>HY63+HY62</f>
        <v>174</v>
      </c>
      <c r="HZ64" s="6" t="s">
        <v>1</v>
      </c>
      <c r="IA64" s="19">
        <f>IA63+IA62</f>
        <v>59030</v>
      </c>
      <c r="IB64" s="19">
        <f>IB63+IB62</f>
        <v>59030</v>
      </c>
      <c r="IC64" s="23">
        <f aca="true" t="shared" si="308" ref="IC64:IC88">HY64*100/HP64-100</f>
        <v>-6.951871657754012</v>
      </c>
      <c r="ID64" s="23" t="e">
        <f>HZ64*100/HQ64-100</f>
        <v>#DIV/0!</v>
      </c>
      <c r="IE64" s="23">
        <f aca="true" t="shared" si="309" ref="IE64:IE88">IA64*100/HR64-100</f>
        <v>-6.167540931489427</v>
      </c>
      <c r="IF64" s="23">
        <f aca="true" t="shared" si="310" ref="IF64:IF88">IB64*100/HS64-100</f>
        <v>-6.167540931489427</v>
      </c>
      <c r="IG64" s="23"/>
      <c r="IH64" s="1" t="s">
        <v>61</v>
      </c>
      <c r="II64" s="29">
        <f t="shared" si="223"/>
        <v>189.5</v>
      </c>
      <c r="IJ64" s="30">
        <f t="shared" si="224"/>
        <v>263.3808896693006</v>
      </c>
      <c r="IK64" s="29">
        <f t="shared" si="225"/>
        <v>51429</v>
      </c>
      <c r="IL64" s="25">
        <f t="shared" si="226"/>
        <v>-1.31926121372031</v>
      </c>
      <c r="IM64" s="25">
        <f t="shared" si="227"/>
        <v>-100</v>
      </c>
      <c r="IN64" s="25">
        <f t="shared" si="228"/>
        <v>22.323980633494727</v>
      </c>
      <c r="IP64" s="30">
        <f>HP64*100/Italia!BR64</f>
        <v>0.8630672301680304</v>
      </c>
      <c r="IQ64" s="30">
        <f>HR64*100/Italia!BT64</f>
        <v>1.0605319112888911</v>
      </c>
      <c r="IR64" s="30">
        <f>HS64*100/Italia!BU64</f>
        <v>1.2001265941834207</v>
      </c>
    </row>
    <row r="65" spans="1:252" ht="12">
      <c r="A65" s="1" t="s">
        <v>62</v>
      </c>
      <c r="B65" s="20">
        <v>3101</v>
      </c>
      <c r="C65" s="10">
        <v>165.1</v>
      </c>
      <c r="D65" s="11">
        <v>461600</v>
      </c>
      <c r="E65" s="9"/>
      <c r="F65" s="20">
        <v>3061</v>
      </c>
      <c r="G65" s="10">
        <f>518798/3059</f>
        <v>169.59725400457666</v>
      </c>
      <c r="H65" s="11">
        <v>466500</v>
      </c>
      <c r="I65" s="23">
        <f t="shared" si="214"/>
        <v>-1.289906481780065</v>
      </c>
      <c r="J65" s="23">
        <f>G65*100/C65-100</f>
        <v>2.723957604225717</v>
      </c>
      <c r="K65" s="23">
        <f t="shared" si="215"/>
        <v>1.0615251299826696</v>
      </c>
      <c r="L65" s="8"/>
      <c r="M65" s="20">
        <v>2765</v>
      </c>
      <c r="N65" s="10">
        <v>182.9</v>
      </c>
      <c r="O65" s="11">
        <v>464000</v>
      </c>
      <c r="P65" s="23">
        <f t="shared" si="216"/>
        <v>-9.670042469781123</v>
      </c>
      <c r="Q65" s="23">
        <f t="shared" si="277"/>
        <v>7.843727231022484</v>
      </c>
      <c r="R65" s="23">
        <f t="shared" si="217"/>
        <v>-0.5359056806002087</v>
      </c>
      <c r="S65" s="8"/>
      <c r="T65" s="20">
        <v>2678</v>
      </c>
      <c r="U65" s="10">
        <v>190.1</v>
      </c>
      <c r="V65" s="11">
        <v>456600</v>
      </c>
      <c r="W65" s="23">
        <f t="shared" si="161"/>
        <v>-3.1464737793851754</v>
      </c>
      <c r="X65" s="23">
        <f t="shared" si="278"/>
        <v>3.936577364680147</v>
      </c>
      <c r="Y65" s="23">
        <f t="shared" si="162"/>
        <v>-1.5948275862068897</v>
      </c>
      <c r="Z65" s="8"/>
      <c r="AA65" s="20">
        <v>2600</v>
      </c>
      <c r="AB65" s="10">
        <f>505456/2585</f>
        <v>195.53423597678918</v>
      </c>
      <c r="AC65" s="11">
        <v>471100</v>
      </c>
      <c r="AD65" s="23">
        <f t="shared" si="163"/>
        <v>-2.9126213592232943</v>
      </c>
      <c r="AE65" s="23">
        <f t="shared" si="279"/>
        <v>2.858619661646074</v>
      </c>
      <c r="AF65" s="23">
        <f t="shared" si="164"/>
        <v>3.1756460797196695</v>
      </c>
      <c r="AG65" s="8"/>
      <c r="AH65" s="20">
        <v>2194</v>
      </c>
      <c r="AI65" s="10">
        <v>208.8</v>
      </c>
      <c r="AJ65" s="11">
        <v>455600</v>
      </c>
      <c r="AK65" s="23">
        <f t="shared" si="165"/>
        <v>-15.615384615384613</v>
      </c>
      <c r="AL65" s="23">
        <f t="shared" si="280"/>
        <v>6.784368965844692</v>
      </c>
      <c r="AM65" s="23">
        <f t="shared" si="166"/>
        <v>-3.2901719380174086</v>
      </c>
      <c r="AN65" s="8"/>
      <c r="AO65" s="20">
        <v>1851</v>
      </c>
      <c r="AP65" s="10">
        <v>241.3</v>
      </c>
      <c r="AQ65" s="11">
        <v>445200</v>
      </c>
      <c r="AR65" s="23">
        <f t="shared" si="167"/>
        <v>-15.63354603463992</v>
      </c>
      <c r="AS65" s="23">
        <f t="shared" si="281"/>
        <v>15.565134099616856</v>
      </c>
      <c r="AT65" s="23">
        <f t="shared" si="168"/>
        <v>-2.282704126426694</v>
      </c>
      <c r="AU65" s="8"/>
      <c r="AV65" s="20">
        <v>1565</v>
      </c>
      <c r="AW65" s="10">
        <f>379740/1565</f>
        <v>242.6453674121406</v>
      </c>
      <c r="AX65" s="11">
        <v>377618</v>
      </c>
      <c r="AY65" s="23">
        <f t="shared" si="169"/>
        <v>-15.451107509454346</v>
      </c>
      <c r="AZ65" s="23">
        <f t="shared" si="282"/>
        <v>0.557549694214913</v>
      </c>
      <c r="BA65" s="23">
        <f t="shared" si="170"/>
        <v>-15.180143755615447</v>
      </c>
      <c r="BB65" s="8"/>
      <c r="BC65" s="20">
        <v>1451</v>
      </c>
      <c r="BD65" s="10">
        <f>365480/BC65</f>
        <v>251.881461061337</v>
      </c>
      <c r="BE65" s="11">
        <v>364585</v>
      </c>
      <c r="BF65" s="23">
        <f t="shared" si="171"/>
        <v>-7.284345047923324</v>
      </c>
      <c r="BG65" s="23">
        <f t="shared" si="283"/>
        <v>3.806416643227564</v>
      </c>
      <c r="BH65" s="23">
        <f t="shared" si="172"/>
        <v>-3.4513714918250713</v>
      </c>
      <c r="BI65" s="8"/>
      <c r="BJ65" s="20">
        <v>1327</v>
      </c>
      <c r="BK65" s="10">
        <v>258.6</v>
      </c>
      <c r="BL65" s="11">
        <v>341809</v>
      </c>
      <c r="BM65" s="23">
        <f t="shared" si="218"/>
        <v>-8.545830461750512</v>
      </c>
      <c r="BN65" s="23">
        <f t="shared" si="284"/>
        <v>2.6673415781985454</v>
      </c>
      <c r="BO65" s="23">
        <f t="shared" si="173"/>
        <v>-6.2471028703868825</v>
      </c>
      <c r="BP65" s="8"/>
      <c r="BQ65" s="20">
        <v>1323</v>
      </c>
      <c r="BR65" s="10">
        <v>256.6</v>
      </c>
      <c r="BS65" s="11">
        <v>290737</v>
      </c>
      <c r="BT65" s="23">
        <f t="shared" si="219"/>
        <v>-0.301431801055017</v>
      </c>
      <c r="BU65" s="23">
        <f t="shared" si="285"/>
        <v>-0.7733952049497219</v>
      </c>
      <c r="BV65" s="23">
        <f t="shared" si="174"/>
        <v>-14.94167795464719</v>
      </c>
      <c r="BW65" s="8"/>
      <c r="BX65" s="20">
        <v>1438</v>
      </c>
      <c r="BY65" s="10">
        <v>225.7</v>
      </c>
      <c r="BZ65" s="11">
        <v>314879</v>
      </c>
      <c r="CA65" s="23">
        <f t="shared" si="175"/>
        <v>8.692365835222972</v>
      </c>
      <c r="CB65" s="23">
        <f t="shared" si="286"/>
        <v>-12.042088854247865</v>
      </c>
      <c r="CC65" s="23">
        <f t="shared" si="176"/>
        <v>8.30372467212635</v>
      </c>
      <c r="CD65" s="8"/>
      <c r="CE65" s="20">
        <v>1226</v>
      </c>
      <c r="CF65" s="10">
        <v>206.6</v>
      </c>
      <c r="CG65" s="11">
        <v>248829</v>
      </c>
      <c r="CH65" s="23">
        <f t="shared" si="177"/>
        <v>-14.742698191933243</v>
      </c>
      <c r="CI65" s="23">
        <f t="shared" si="287"/>
        <v>-8.462560921577307</v>
      </c>
      <c r="CJ65" s="23">
        <f t="shared" si="178"/>
        <v>-20.976311535542223</v>
      </c>
      <c r="CK65" s="8"/>
      <c r="CL65" s="20">
        <v>1236</v>
      </c>
      <c r="CM65" s="10">
        <v>208.7</v>
      </c>
      <c r="CN65" s="11">
        <v>254244</v>
      </c>
      <c r="CO65" s="23">
        <f t="shared" si="179"/>
        <v>0.815660685154981</v>
      </c>
      <c r="CP65" s="23">
        <f t="shared" si="288"/>
        <v>1.0164569215876185</v>
      </c>
      <c r="CQ65" s="23">
        <f t="shared" si="180"/>
        <v>2.17619328936739</v>
      </c>
      <c r="CR65" s="8"/>
      <c r="CS65" s="20">
        <v>1202</v>
      </c>
      <c r="CT65" s="10">
        <v>221.8</v>
      </c>
      <c r="CU65" s="11">
        <v>258611</v>
      </c>
      <c r="CV65" s="23">
        <f t="shared" si="181"/>
        <v>-2.750809061488667</v>
      </c>
      <c r="CW65" s="23">
        <f t="shared" si="289"/>
        <v>6.2769525634882655</v>
      </c>
      <c r="CX65" s="23">
        <f t="shared" si="182"/>
        <v>1.7176413209357975</v>
      </c>
      <c r="CY65" s="8"/>
      <c r="CZ65" s="20">
        <v>1200</v>
      </c>
      <c r="DA65" s="10">
        <v>232.3</v>
      </c>
      <c r="DB65" s="11">
        <v>269225</v>
      </c>
      <c r="DC65" s="23">
        <f t="shared" si="183"/>
        <v>-0.1663893510815342</v>
      </c>
      <c r="DD65" s="23">
        <f t="shared" si="290"/>
        <v>4.733994589720467</v>
      </c>
      <c r="DE65" s="23">
        <f t="shared" si="184"/>
        <v>4.104233771958661</v>
      </c>
      <c r="DF65" s="8"/>
      <c r="DG65" s="20">
        <v>1178</v>
      </c>
      <c r="DH65" s="10">
        <v>245.8</v>
      </c>
      <c r="DI65" s="11">
        <v>285254</v>
      </c>
      <c r="DJ65" s="23">
        <f t="shared" si="185"/>
        <v>-1.8333333333333286</v>
      </c>
      <c r="DK65" s="23">
        <f t="shared" si="291"/>
        <v>5.811450710288412</v>
      </c>
      <c r="DL65" s="23">
        <f t="shared" si="186"/>
        <v>5.9537561519175455</v>
      </c>
      <c r="DM65" s="8"/>
      <c r="DN65" s="20">
        <v>1011</v>
      </c>
      <c r="DO65" s="10">
        <v>230.6</v>
      </c>
      <c r="DP65" s="11">
        <v>231030</v>
      </c>
      <c r="DQ65" s="23">
        <f t="shared" si="187"/>
        <v>-14.176570458404072</v>
      </c>
      <c r="DR65" s="23">
        <f t="shared" si="292"/>
        <v>-6.183889340927593</v>
      </c>
      <c r="DS65" s="23">
        <f t="shared" si="188"/>
        <v>-19.00902353691798</v>
      </c>
      <c r="DT65" s="8"/>
      <c r="DU65" s="20">
        <v>862</v>
      </c>
      <c r="DV65" s="10">
        <v>237.7</v>
      </c>
      <c r="DW65" s="11">
        <v>197035</v>
      </c>
      <c r="DX65" s="23">
        <f t="shared" si="189"/>
        <v>-14.737883283877352</v>
      </c>
      <c r="DY65" s="23">
        <f t="shared" si="293"/>
        <v>3.078924544666094</v>
      </c>
      <c r="DZ65" s="23">
        <f t="shared" si="190"/>
        <v>-14.71453923732848</v>
      </c>
      <c r="EA65" s="8"/>
      <c r="EB65" s="20">
        <v>740</v>
      </c>
      <c r="EC65" s="10">
        <v>310.2</v>
      </c>
      <c r="ED65" s="11">
        <v>229580</v>
      </c>
      <c r="EE65" s="23">
        <f t="shared" si="191"/>
        <v>-14.153132250580043</v>
      </c>
      <c r="EF65" s="23">
        <f t="shared" si="294"/>
        <v>30.500631047538917</v>
      </c>
      <c r="EG65" s="23">
        <f t="shared" si="192"/>
        <v>16.51737001040425</v>
      </c>
      <c r="EH65" s="8"/>
      <c r="EI65" s="20">
        <v>683</v>
      </c>
      <c r="EJ65" s="10">
        <v>276.2</v>
      </c>
      <c r="EK65" s="11">
        <v>185850</v>
      </c>
      <c r="EL65" s="23">
        <f t="shared" si="193"/>
        <v>-7.702702702702709</v>
      </c>
      <c r="EM65" s="23">
        <f t="shared" si="295"/>
        <v>-10.960670535138618</v>
      </c>
      <c r="EN65" s="23">
        <f t="shared" si="194"/>
        <v>-19.047826465720007</v>
      </c>
      <c r="EO65" s="8"/>
      <c r="EP65" s="20">
        <v>603</v>
      </c>
      <c r="EQ65" s="10">
        <v>262.4</v>
      </c>
      <c r="ER65" s="11">
        <v>155597</v>
      </c>
      <c r="ES65" s="23">
        <f t="shared" si="195"/>
        <v>-11.713030746705712</v>
      </c>
      <c r="ET65" s="23">
        <f t="shared" si="296"/>
        <v>-4.996379435191898</v>
      </c>
      <c r="EU65" s="23">
        <f t="shared" si="196"/>
        <v>-16.278181329028783</v>
      </c>
      <c r="EV65" s="8"/>
      <c r="EW65" s="20">
        <v>594</v>
      </c>
      <c r="EX65" s="10">
        <f t="shared" si="265"/>
        <v>253.013468013468</v>
      </c>
      <c r="EY65" s="11">
        <v>150290</v>
      </c>
      <c r="EZ65" s="11">
        <v>150290</v>
      </c>
      <c r="FA65" s="23">
        <f t="shared" si="198"/>
        <v>-1.492537313432834</v>
      </c>
      <c r="FB65" s="23">
        <f t="shared" si="297"/>
        <v>-3.577184446086875</v>
      </c>
      <c r="FC65" s="23">
        <f t="shared" si="199"/>
        <v>-3.410734140118379</v>
      </c>
      <c r="FD65" s="8"/>
      <c r="FE65" s="20">
        <v>593</v>
      </c>
      <c r="FF65" s="10">
        <f t="shared" si="229"/>
        <v>263.89038785834737</v>
      </c>
      <c r="FG65" s="11">
        <v>156487</v>
      </c>
      <c r="FH65" s="11">
        <v>154001</v>
      </c>
      <c r="FI65" s="23">
        <f t="shared" si="266"/>
        <v>-0.16835016835017313</v>
      </c>
      <c r="FJ65" s="23">
        <f t="shared" si="271"/>
        <v>4.298948957254865</v>
      </c>
      <c r="FK65" s="23">
        <f t="shared" si="271"/>
        <v>4.123361501097875</v>
      </c>
      <c r="FL65" s="23">
        <f t="shared" si="267"/>
        <v>2.4692261627520082</v>
      </c>
      <c r="FM65" s="23"/>
      <c r="FN65" s="20">
        <v>525</v>
      </c>
      <c r="FO65" s="10">
        <f t="shared" si="220"/>
        <v>264.1714285714286</v>
      </c>
      <c r="FP65" s="11">
        <v>138690</v>
      </c>
      <c r="FQ65" s="11">
        <v>135851</v>
      </c>
      <c r="FR65" s="23">
        <f t="shared" si="298"/>
        <v>-11.46711635750421</v>
      </c>
      <c r="FS65" s="23">
        <f t="shared" si="298"/>
        <v>0.10649903369427705</v>
      </c>
      <c r="FT65" s="23">
        <f t="shared" si="53"/>
        <v>-11.372829691923286</v>
      </c>
      <c r="FU65" s="23">
        <f t="shared" si="53"/>
        <v>-11.785637755598984</v>
      </c>
      <c r="FV65" s="23"/>
      <c r="FW65" s="20">
        <v>479</v>
      </c>
      <c r="FX65" s="10">
        <f>FY65/FW65</f>
        <v>241.31524008350732</v>
      </c>
      <c r="FY65" s="20">
        <v>115590</v>
      </c>
      <c r="FZ65" s="20">
        <v>114067</v>
      </c>
      <c r="GA65" s="23">
        <f t="shared" si="299"/>
        <v>-8.76190476190476</v>
      </c>
      <c r="GB65" s="23">
        <f t="shared" si="299"/>
        <v>-8.65202895389622</v>
      </c>
      <c r="GC65" s="23">
        <f t="shared" si="299"/>
        <v>-16.65585117888817</v>
      </c>
      <c r="GD65" s="23">
        <f t="shared" si="299"/>
        <v>-16.035215051784675</v>
      </c>
      <c r="GE65" s="23"/>
      <c r="GF65" s="20">
        <v>416</v>
      </c>
      <c r="GG65" s="10">
        <f>GH65/GF65</f>
        <v>237.59615384615384</v>
      </c>
      <c r="GH65" s="20">
        <v>98840</v>
      </c>
      <c r="GI65" s="20">
        <v>97294</v>
      </c>
      <c r="GJ65" s="23">
        <f t="shared" si="300"/>
        <v>-13.152400835073067</v>
      </c>
      <c r="GK65" s="23">
        <f t="shared" si="300"/>
        <v>-1.5411733780537418</v>
      </c>
      <c r="GL65" s="23">
        <f t="shared" si="57"/>
        <v>-14.490872912881741</v>
      </c>
      <c r="GM65" s="23">
        <f t="shared" si="57"/>
        <v>-14.704515767049188</v>
      </c>
      <c r="GN65" s="23"/>
      <c r="GO65" s="20">
        <v>317</v>
      </c>
      <c r="GP65" s="10">
        <f>GQ65/GO65</f>
        <v>318.15141955835963</v>
      </c>
      <c r="GQ65" s="20">
        <v>100854</v>
      </c>
      <c r="GR65" s="20">
        <v>100854</v>
      </c>
      <c r="GS65" s="23">
        <f t="shared" si="301"/>
        <v>-23.79807692307692</v>
      </c>
      <c r="GT65" s="23">
        <f t="shared" si="301"/>
        <v>33.90428018644033</v>
      </c>
      <c r="GU65" s="23">
        <f t="shared" si="59"/>
        <v>2.037636584378788</v>
      </c>
      <c r="GV65" s="23">
        <f t="shared" si="60"/>
        <v>3.659012888770121</v>
      </c>
      <c r="GW65" s="23"/>
      <c r="GX65" s="20">
        <v>227</v>
      </c>
      <c r="GY65" s="10">
        <f>GZ65/GX65</f>
        <v>312.29074889867843</v>
      </c>
      <c r="GZ65" s="20">
        <v>70890</v>
      </c>
      <c r="HA65" s="20">
        <v>70890</v>
      </c>
      <c r="HB65" s="23">
        <f t="shared" si="302"/>
        <v>-28.391167192429023</v>
      </c>
      <c r="HC65" s="23">
        <f t="shared" si="303"/>
        <v>-1.8421010560998496</v>
      </c>
      <c r="HD65" s="23">
        <f t="shared" si="62"/>
        <v>-29.710274257838066</v>
      </c>
      <c r="HE65" s="23">
        <f t="shared" si="63"/>
        <v>-29.710274257838066</v>
      </c>
      <c r="HF65" s="23"/>
      <c r="HG65" s="20">
        <v>212</v>
      </c>
      <c r="HH65" s="10">
        <f>HI65/HG65</f>
        <v>327.0518867924528</v>
      </c>
      <c r="HI65" s="20">
        <v>69335</v>
      </c>
      <c r="HJ65" s="20">
        <v>69335</v>
      </c>
      <c r="HK65" s="23">
        <f t="shared" si="304"/>
        <v>-6.607929515418505</v>
      </c>
      <c r="HL65" s="23">
        <f t="shared" si="305"/>
        <v>4.726729160511766</v>
      </c>
      <c r="HM65" s="23">
        <f t="shared" si="105"/>
        <v>-2.1935392862180834</v>
      </c>
      <c r="HN65" s="23">
        <f t="shared" si="106"/>
        <v>-2.1935392862180834</v>
      </c>
      <c r="HO65" s="23"/>
      <c r="HP65" s="20">
        <v>217</v>
      </c>
      <c r="HQ65" s="10">
        <f>HR65/HP65</f>
        <v>281.93548387096774</v>
      </c>
      <c r="HR65" s="20">
        <v>61180</v>
      </c>
      <c r="HS65" s="20">
        <v>60865</v>
      </c>
      <c r="HT65" s="23">
        <f t="shared" si="306"/>
        <v>2.35849056603773</v>
      </c>
      <c r="HU65" s="23">
        <f t="shared" si="307"/>
        <v>-13.794876208776003</v>
      </c>
      <c r="HV65" s="23">
        <f t="shared" si="64"/>
        <v>-11.761736496718825</v>
      </c>
      <c r="HW65" s="23">
        <f t="shared" si="65"/>
        <v>-12.216052498738009</v>
      </c>
      <c r="HX65" s="23"/>
      <c r="HY65" s="20">
        <v>216</v>
      </c>
      <c r="HZ65" s="10">
        <f>IA65/HY65</f>
        <v>317.1388888888889</v>
      </c>
      <c r="IA65" s="20">
        <v>68502</v>
      </c>
      <c r="IB65" s="20">
        <v>68115</v>
      </c>
      <c r="IC65" s="23">
        <f t="shared" si="308"/>
        <v>-0.4608294930875587</v>
      </c>
      <c r="ID65" s="23">
        <f>HZ65*100/HQ65-100</f>
        <v>12.48633358759217</v>
      </c>
      <c r="IE65" s="23">
        <f t="shared" si="309"/>
        <v>11.96796338672769</v>
      </c>
      <c r="IF65" s="23">
        <f t="shared" si="310"/>
        <v>11.91160765628851</v>
      </c>
      <c r="IG65" s="23"/>
      <c r="IH65" s="1" t="s">
        <v>62</v>
      </c>
      <c r="II65" s="29">
        <f t="shared" si="223"/>
        <v>464.9</v>
      </c>
      <c r="IJ65" s="30">
        <f t="shared" si="224"/>
        <v>275.60807336223957</v>
      </c>
      <c r="IK65" s="29">
        <f t="shared" si="225"/>
        <v>123402.9</v>
      </c>
      <c r="IL65" s="25">
        <f t="shared" si="226"/>
        <v>-53.32329533232953</v>
      </c>
      <c r="IM65" s="25">
        <f t="shared" si="227"/>
        <v>2.2958001307936513</v>
      </c>
      <c r="IN65" s="25">
        <f t="shared" si="228"/>
        <v>-50.67782037537205</v>
      </c>
      <c r="IP65" s="30">
        <f>HP65*100/Italia!BR65</f>
        <v>9.15225643188528</v>
      </c>
      <c r="IQ65" s="30">
        <f>HR65*100/Italia!BT65</f>
        <v>15.106247438258954</v>
      </c>
      <c r="IR65" s="30">
        <f>HS65*100/Italia!BU65</f>
        <v>15.967186794967313</v>
      </c>
    </row>
    <row r="66" spans="1:252" ht="12">
      <c r="A66" s="1" t="s">
        <v>63</v>
      </c>
      <c r="B66" s="22">
        <v>409.19</v>
      </c>
      <c r="C66" s="10">
        <v>268.5</v>
      </c>
      <c r="D66" s="11">
        <v>108787</v>
      </c>
      <c r="E66" s="9"/>
      <c r="F66" s="22">
        <v>396.21</v>
      </c>
      <c r="G66" s="10">
        <v>265.8</v>
      </c>
      <c r="H66" s="11">
        <v>104935</v>
      </c>
      <c r="I66" s="23">
        <f t="shared" si="214"/>
        <v>-3.1721205308047615</v>
      </c>
      <c r="J66" s="23">
        <f>G66*100/C66-100</f>
        <v>-1.0055865921787728</v>
      </c>
      <c r="K66" s="23">
        <f t="shared" si="215"/>
        <v>-3.5408642576778533</v>
      </c>
      <c r="L66" s="8"/>
      <c r="M66" s="22">
        <v>404.14</v>
      </c>
      <c r="N66" s="10">
        <v>370.7</v>
      </c>
      <c r="O66" s="11">
        <v>149182</v>
      </c>
      <c r="P66" s="23">
        <f t="shared" si="216"/>
        <v>2.0014638701698715</v>
      </c>
      <c r="Q66" s="23">
        <f t="shared" si="277"/>
        <v>39.4657637321294</v>
      </c>
      <c r="R66" s="23">
        <f t="shared" si="217"/>
        <v>42.16610282555868</v>
      </c>
      <c r="S66" s="8"/>
      <c r="T66" s="22">
        <v>358.19</v>
      </c>
      <c r="U66" s="10">
        <v>346.8</v>
      </c>
      <c r="V66" s="11">
        <v>123624</v>
      </c>
      <c r="W66" s="23">
        <f aca="true" t="shared" si="311" ref="W66:W97">T66*100/M66-100</f>
        <v>-11.369822338793483</v>
      </c>
      <c r="X66" s="23">
        <f t="shared" si="278"/>
        <v>-6.447261936876174</v>
      </c>
      <c r="Y66" s="23">
        <f aca="true" t="shared" si="312" ref="Y66:Y97">V66*100/O66-100</f>
        <v>-17.132093684224643</v>
      </c>
      <c r="Z66" s="8"/>
      <c r="AA66" s="22">
        <v>367.5</v>
      </c>
      <c r="AB66" s="10">
        <f>125837/AA66</f>
        <v>342.41360544217684</v>
      </c>
      <c r="AC66" s="11">
        <v>125061</v>
      </c>
      <c r="AD66" s="23">
        <f t="shared" si="163"/>
        <v>2.5991792065663475</v>
      </c>
      <c r="AE66" s="23">
        <f t="shared" si="279"/>
        <v>-1.2648196533515517</v>
      </c>
      <c r="AF66" s="23">
        <f t="shared" si="164"/>
        <v>1.1623956513298452</v>
      </c>
      <c r="AG66" s="8"/>
      <c r="AH66" s="22">
        <v>260.64</v>
      </c>
      <c r="AI66" s="10">
        <v>275.8</v>
      </c>
      <c r="AJ66" s="11">
        <v>71642</v>
      </c>
      <c r="AK66" s="23">
        <f t="shared" si="165"/>
        <v>-29.077551020408166</v>
      </c>
      <c r="AL66" s="23">
        <f t="shared" si="280"/>
        <v>-19.45413511129476</v>
      </c>
      <c r="AM66" s="23">
        <f t="shared" si="166"/>
        <v>-42.71435539456745</v>
      </c>
      <c r="AN66" s="8"/>
      <c r="AO66" s="22">
        <v>258.52</v>
      </c>
      <c r="AP66" s="10">
        <f>74666/AO66</f>
        <v>288.82098096859045</v>
      </c>
      <c r="AQ66" s="11">
        <v>74641</v>
      </c>
      <c r="AR66" s="23">
        <f t="shared" si="167"/>
        <v>-0.8133824432166961</v>
      </c>
      <c r="AS66" s="23">
        <f t="shared" si="281"/>
        <v>4.721167863883409</v>
      </c>
      <c r="AT66" s="23">
        <f t="shared" si="168"/>
        <v>4.186091957231795</v>
      </c>
      <c r="AU66" s="8"/>
      <c r="AV66" s="22">
        <v>248.12</v>
      </c>
      <c r="AW66" s="10">
        <f>71604/AV66</f>
        <v>288.5861679832339</v>
      </c>
      <c r="AX66" s="11">
        <v>71439</v>
      </c>
      <c r="AY66" s="23">
        <f t="shared" si="169"/>
        <v>-4.0228995822373435</v>
      </c>
      <c r="AZ66" s="23">
        <f t="shared" si="282"/>
        <v>-0.08130052898826534</v>
      </c>
      <c r="BA66" s="23">
        <f t="shared" si="170"/>
        <v>-4.289867499095678</v>
      </c>
      <c r="BB66" s="8"/>
      <c r="BC66" s="22">
        <v>248.6</v>
      </c>
      <c r="BD66" s="10">
        <f>BE66/BC66</f>
        <v>275.4223652453741</v>
      </c>
      <c r="BE66" s="11">
        <v>68470</v>
      </c>
      <c r="BF66" s="23">
        <f t="shared" si="171"/>
        <v>0.1934547799451849</v>
      </c>
      <c r="BG66" s="23">
        <f t="shared" si="283"/>
        <v>-4.561480832520203</v>
      </c>
      <c r="BH66" s="23">
        <f t="shared" si="172"/>
        <v>-4.155993224989146</v>
      </c>
      <c r="BI66" s="8"/>
      <c r="BJ66" s="22">
        <v>215.58</v>
      </c>
      <c r="BK66" s="10">
        <f>57831/BJ66</f>
        <v>268.2577233509602</v>
      </c>
      <c r="BL66" s="11">
        <v>57811</v>
      </c>
      <c r="BM66" s="23">
        <f t="shared" si="218"/>
        <v>-13.282381335478675</v>
      </c>
      <c r="BN66" s="23">
        <f t="shared" si="284"/>
        <v>-2.6013290126351762</v>
      </c>
      <c r="BO66" s="23">
        <f t="shared" si="173"/>
        <v>-15.567401781802246</v>
      </c>
      <c r="BP66" s="8"/>
      <c r="BQ66" s="22">
        <v>218.4</v>
      </c>
      <c r="BR66" s="10">
        <f>58445/BQ66</f>
        <v>267.60531135531136</v>
      </c>
      <c r="BS66" s="11">
        <v>45045</v>
      </c>
      <c r="BT66" s="23">
        <f t="shared" si="219"/>
        <v>1.3080990815474536</v>
      </c>
      <c r="BU66" s="23">
        <f t="shared" si="285"/>
        <v>-0.2432034341823197</v>
      </c>
      <c r="BV66" s="23">
        <f t="shared" si="174"/>
        <v>-22.082302675961316</v>
      </c>
      <c r="BW66" s="8"/>
      <c r="BX66" s="22">
        <v>189.6</v>
      </c>
      <c r="BY66" s="10">
        <f>48913/BX66</f>
        <v>257.9799578059072</v>
      </c>
      <c r="BZ66" s="11">
        <v>48821</v>
      </c>
      <c r="CA66" s="23">
        <f t="shared" si="175"/>
        <v>-13.186813186813183</v>
      </c>
      <c r="CB66" s="23">
        <f t="shared" si="286"/>
        <v>-3.5968469761140796</v>
      </c>
      <c r="CC66" s="23">
        <f t="shared" si="176"/>
        <v>8.382728382728388</v>
      </c>
      <c r="CD66" s="8"/>
      <c r="CE66" s="22">
        <v>198.2</v>
      </c>
      <c r="CF66" s="10">
        <v>240.7</v>
      </c>
      <c r="CG66" s="11">
        <v>47615</v>
      </c>
      <c r="CH66" s="23">
        <f t="shared" si="177"/>
        <v>4.53586497890295</v>
      </c>
      <c r="CI66" s="23">
        <f t="shared" si="287"/>
        <v>-6.698178398380804</v>
      </c>
      <c r="CJ66" s="23">
        <f t="shared" si="178"/>
        <v>-2.4702484586550923</v>
      </c>
      <c r="CK66" s="8"/>
      <c r="CL66" s="22">
        <v>197.2</v>
      </c>
      <c r="CM66" s="10">
        <v>240</v>
      </c>
      <c r="CN66" s="11">
        <v>48023</v>
      </c>
      <c r="CO66" s="23">
        <f t="shared" si="179"/>
        <v>-0.5045408678102916</v>
      </c>
      <c r="CP66" s="23">
        <f t="shared" si="288"/>
        <v>-0.29081844619858543</v>
      </c>
      <c r="CQ66" s="23">
        <f t="shared" si="180"/>
        <v>0.8568728341909093</v>
      </c>
      <c r="CR66" s="8"/>
      <c r="CS66" s="22">
        <v>195.15</v>
      </c>
      <c r="CT66" s="10">
        <f>47950/CS66</f>
        <v>245.70842941327183</v>
      </c>
      <c r="CU66" s="11">
        <v>47860</v>
      </c>
      <c r="CV66" s="23">
        <f t="shared" si="181"/>
        <v>-1.0395537525354968</v>
      </c>
      <c r="CW66" s="23">
        <f t="shared" si="289"/>
        <v>2.378512255529941</v>
      </c>
      <c r="CX66" s="23">
        <f t="shared" si="182"/>
        <v>-0.339420694250677</v>
      </c>
      <c r="CY66" s="8"/>
      <c r="CZ66" s="22">
        <v>191.35</v>
      </c>
      <c r="DA66" s="10">
        <f>50062/CZ66</f>
        <v>261.6252939639404</v>
      </c>
      <c r="DB66" s="11">
        <v>49971.5</v>
      </c>
      <c r="DC66" s="23">
        <f t="shared" si="183"/>
        <v>-1.947220087112484</v>
      </c>
      <c r="DD66" s="23">
        <f t="shared" si="290"/>
        <v>6.477948106492136</v>
      </c>
      <c r="DE66" s="23">
        <f t="shared" si="184"/>
        <v>4.411826159632255</v>
      </c>
      <c r="DF66" s="8"/>
      <c r="DG66" s="22">
        <v>191.4</v>
      </c>
      <c r="DH66" s="10">
        <f>48445/DG66</f>
        <v>253.10867293625913</v>
      </c>
      <c r="DI66" s="11">
        <v>48340</v>
      </c>
      <c r="DJ66" s="23">
        <f t="shared" si="185"/>
        <v>0.026130128037635814</v>
      </c>
      <c r="DK66" s="23">
        <f t="shared" si="291"/>
        <v>-3.255274327127978</v>
      </c>
      <c r="DL66" s="23">
        <f t="shared" si="186"/>
        <v>-3.2648609707533325</v>
      </c>
      <c r="DM66" s="8"/>
      <c r="DN66" s="22">
        <v>193.27</v>
      </c>
      <c r="DO66" s="10">
        <f>48654/DN66</f>
        <v>251.74108759766128</v>
      </c>
      <c r="DP66" s="11">
        <v>48539</v>
      </c>
      <c r="DQ66" s="23">
        <f t="shared" si="187"/>
        <v>0.9770114942528636</v>
      </c>
      <c r="DR66" s="23">
        <f t="shared" si="292"/>
        <v>-0.5403154790125484</v>
      </c>
      <c r="DS66" s="23">
        <f t="shared" si="188"/>
        <v>0.41166735622672945</v>
      </c>
      <c r="DT66" s="8"/>
      <c r="DU66" s="22">
        <v>188.3</v>
      </c>
      <c r="DV66" s="10">
        <f>51761/DU66</f>
        <v>274.88582049920336</v>
      </c>
      <c r="DW66" s="11">
        <v>51646</v>
      </c>
      <c r="DX66" s="23">
        <f t="shared" si="189"/>
        <v>-2.571532053603775</v>
      </c>
      <c r="DY66" s="23">
        <f t="shared" si="293"/>
        <v>9.193863871174088</v>
      </c>
      <c r="DZ66" s="23">
        <f t="shared" si="190"/>
        <v>6.401038340303671</v>
      </c>
      <c r="EA66" s="8"/>
      <c r="EB66" s="22">
        <v>198.07</v>
      </c>
      <c r="EC66" s="10">
        <f>60434/EB66</f>
        <v>305.1143535113849</v>
      </c>
      <c r="ED66" s="11">
        <v>60319</v>
      </c>
      <c r="EE66" s="23">
        <f t="shared" si="191"/>
        <v>5.188528943175783</v>
      </c>
      <c r="EF66" s="23">
        <f t="shared" si="294"/>
        <v>10.996759657258906</v>
      </c>
      <c r="EG66" s="23">
        <f t="shared" si="192"/>
        <v>16.79316888045541</v>
      </c>
      <c r="EH66" s="8"/>
      <c r="EI66" s="22">
        <v>197.2</v>
      </c>
      <c r="EJ66" s="10">
        <f>59271/EI66</f>
        <v>300.56288032454364</v>
      </c>
      <c r="EK66" s="11">
        <v>59181</v>
      </c>
      <c r="EL66" s="23">
        <f t="shared" si="193"/>
        <v>-0.4392386530014676</v>
      </c>
      <c r="EM66" s="23">
        <f t="shared" si="295"/>
        <v>-1.4917269982421146</v>
      </c>
      <c r="EN66" s="23">
        <f t="shared" si="194"/>
        <v>-1.8866360516586838</v>
      </c>
      <c r="EO66" s="8"/>
      <c r="EP66" s="22">
        <v>190.8</v>
      </c>
      <c r="EQ66" s="10">
        <f>57104/EP66</f>
        <v>299.2872117400419</v>
      </c>
      <c r="ER66" s="11">
        <v>56990</v>
      </c>
      <c r="ES66" s="23">
        <f t="shared" si="195"/>
        <v>-3.2454361054766707</v>
      </c>
      <c r="ET66" s="23">
        <f t="shared" si="296"/>
        <v>-0.4244265237025502</v>
      </c>
      <c r="EU66" s="23">
        <f t="shared" si="196"/>
        <v>-3.7022017201466753</v>
      </c>
      <c r="EV66" s="8"/>
      <c r="EW66" s="22">
        <v>194.25</v>
      </c>
      <c r="EX66" s="10">
        <f t="shared" si="265"/>
        <v>298.3114543114543</v>
      </c>
      <c r="EY66" s="11">
        <v>57947</v>
      </c>
      <c r="EZ66" s="11">
        <v>57877</v>
      </c>
      <c r="FA66" s="23">
        <f t="shared" si="198"/>
        <v>1.808176100628927</v>
      </c>
      <c r="FB66" s="23">
        <f t="shared" si="297"/>
        <v>-0.32602710383601163</v>
      </c>
      <c r="FC66" s="23">
        <f t="shared" si="199"/>
        <v>1.556413405860681</v>
      </c>
      <c r="FD66" s="8"/>
      <c r="FE66" s="22">
        <v>197.6</v>
      </c>
      <c r="FF66" s="10">
        <f t="shared" si="229"/>
        <v>298.7348178137652</v>
      </c>
      <c r="FG66" s="11">
        <v>59030</v>
      </c>
      <c r="FH66" s="11">
        <v>58909</v>
      </c>
      <c r="FI66" s="23">
        <f t="shared" si="266"/>
        <v>1.724581724581725</v>
      </c>
      <c r="FJ66" s="23">
        <f t="shared" si="271"/>
        <v>0.14191996190291434</v>
      </c>
      <c r="FK66" s="23">
        <f t="shared" si="271"/>
        <v>1.868949212211163</v>
      </c>
      <c r="FL66" s="23">
        <f t="shared" si="267"/>
        <v>1.783091729011531</v>
      </c>
      <c r="FM66" s="23"/>
      <c r="FN66" s="22">
        <v>177.05</v>
      </c>
      <c r="FO66" s="10">
        <f t="shared" si="220"/>
        <v>298.5766732561423</v>
      </c>
      <c r="FP66" s="11">
        <v>52863</v>
      </c>
      <c r="FQ66" s="11">
        <v>52889</v>
      </c>
      <c r="FR66" s="23">
        <f t="shared" si="298"/>
        <v>-10.399797570850197</v>
      </c>
      <c r="FS66" s="23">
        <f t="shared" si="298"/>
        <v>-0.05293810704095847</v>
      </c>
      <c r="FT66" s="23">
        <f t="shared" si="53"/>
        <v>-10.44723022192106</v>
      </c>
      <c r="FU66" s="23">
        <f t="shared" si="53"/>
        <v>-10.219151572764773</v>
      </c>
      <c r="FV66" s="23"/>
      <c r="FW66" s="22">
        <v>179.55</v>
      </c>
      <c r="FX66" s="10">
        <f>FY66/FW66</f>
        <v>294.68114731272624</v>
      </c>
      <c r="FY66" s="20">
        <v>52910</v>
      </c>
      <c r="FZ66" s="20">
        <v>52894</v>
      </c>
      <c r="GA66" s="23">
        <f t="shared" si="299"/>
        <v>1.412030499858787</v>
      </c>
      <c r="GB66" s="23">
        <f t="shared" si="299"/>
        <v>-1.3046986895972879</v>
      </c>
      <c r="GC66" s="23">
        <f t="shared" si="299"/>
        <v>0.08890906683313915</v>
      </c>
      <c r="GD66" s="23">
        <f t="shared" si="299"/>
        <v>0.009453761651755599</v>
      </c>
      <c r="GE66" s="23"/>
      <c r="GF66" s="22">
        <v>175.62</v>
      </c>
      <c r="GG66" s="10">
        <f>GH66/GF66</f>
        <v>294.51087575446985</v>
      </c>
      <c r="GH66" s="20">
        <v>51722</v>
      </c>
      <c r="GI66" s="20">
        <v>50677</v>
      </c>
      <c r="GJ66" s="23">
        <f t="shared" si="300"/>
        <v>-2.188805346700093</v>
      </c>
      <c r="GK66" s="23">
        <f t="shared" si="300"/>
        <v>-0.05778162594015157</v>
      </c>
      <c r="GL66" s="23">
        <f t="shared" si="57"/>
        <v>-2.2453222453222423</v>
      </c>
      <c r="GM66" s="23">
        <f t="shared" si="57"/>
        <v>-4.191401671267059</v>
      </c>
      <c r="GN66" s="23"/>
      <c r="GO66" s="22">
        <v>106.92</v>
      </c>
      <c r="GP66" s="10">
        <f>GQ66/GO66</f>
        <v>289.95510662177327</v>
      </c>
      <c r="GQ66" s="20">
        <v>31002</v>
      </c>
      <c r="GR66" s="20">
        <v>30957</v>
      </c>
      <c r="GS66" s="23">
        <f t="shared" si="301"/>
        <v>-39.11855141783396</v>
      </c>
      <c r="GT66" s="23">
        <f t="shared" si="301"/>
        <v>-1.5468933434209333</v>
      </c>
      <c r="GU66" s="23">
        <f t="shared" si="59"/>
        <v>-40.06032249332972</v>
      </c>
      <c r="GV66" s="23">
        <f t="shared" si="60"/>
        <v>-38.91311640389131</v>
      </c>
      <c r="GW66" s="23"/>
      <c r="GX66" s="22">
        <v>51.4</v>
      </c>
      <c r="GY66" s="10">
        <f>GZ66/GX66</f>
        <v>270.6225680933852</v>
      </c>
      <c r="GZ66" s="20">
        <v>13910</v>
      </c>
      <c r="HA66" s="20">
        <v>13865</v>
      </c>
      <c r="HB66" s="23">
        <f t="shared" si="302"/>
        <v>-51.926674148896375</v>
      </c>
      <c r="HC66" s="23">
        <f t="shared" si="303"/>
        <v>-6.667424745033387</v>
      </c>
      <c r="HD66" s="23">
        <f t="shared" si="62"/>
        <v>-55.13192697245339</v>
      </c>
      <c r="HE66" s="23">
        <f t="shared" si="63"/>
        <v>-55.21206835287657</v>
      </c>
      <c r="HF66" s="23"/>
      <c r="HG66" s="22">
        <v>59.3</v>
      </c>
      <c r="HH66" s="10">
        <f>HI66/HG66</f>
        <v>343.6762225969646</v>
      </c>
      <c r="HI66" s="20">
        <v>20380</v>
      </c>
      <c r="HJ66" s="20">
        <v>20335</v>
      </c>
      <c r="HK66" s="23">
        <f t="shared" si="304"/>
        <v>15.36964980544748</v>
      </c>
      <c r="HL66" s="23">
        <f t="shared" si="305"/>
        <v>26.994664568540472</v>
      </c>
      <c r="HM66" s="23">
        <f t="shared" si="105"/>
        <v>46.51329978432781</v>
      </c>
      <c r="HN66" s="23">
        <f t="shared" si="106"/>
        <v>46.66426253155427</v>
      </c>
      <c r="HO66" s="23"/>
      <c r="HP66" s="22">
        <v>59.5</v>
      </c>
      <c r="HQ66" s="10">
        <f>HR66/HP66</f>
        <v>305.3781512605042</v>
      </c>
      <c r="HR66" s="20">
        <v>18170</v>
      </c>
      <c r="HS66" s="20">
        <v>18125</v>
      </c>
      <c r="HT66" s="23">
        <f t="shared" si="306"/>
        <v>0.3372681281618952</v>
      </c>
      <c r="HU66" s="23">
        <f t="shared" si="307"/>
        <v>-11.143648823611883</v>
      </c>
      <c r="HV66" s="23">
        <f t="shared" si="64"/>
        <v>-10.843964671246326</v>
      </c>
      <c r="HW66" s="23">
        <f t="shared" si="65"/>
        <v>-10.867961642488325</v>
      </c>
      <c r="HX66" s="23"/>
      <c r="HY66" s="22"/>
      <c r="HZ66" s="10" t="e">
        <f>IA66/HY66</f>
        <v>#DIV/0!</v>
      </c>
      <c r="IA66" s="20"/>
      <c r="IB66" s="20"/>
      <c r="IC66" s="23">
        <f t="shared" si="308"/>
        <v>-100</v>
      </c>
      <c r="ID66" s="23" t="e">
        <f>HZ66*100/HQ66-100</f>
        <v>#DIV/0!</v>
      </c>
      <c r="IE66" s="23">
        <f t="shared" si="309"/>
        <v>-100</v>
      </c>
      <c r="IF66" s="23">
        <f t="shared" si="310"/>
        <v>-100</v>
      </c>
      <c r="IG66" s="23"/>
      <c r="IH66" s="1" t="s">
        <v>63</v>
      </c>
      <c r="II66" s="29">
        <f t="shared" si="223"/>
        <v>152.96900000000002</v>
      </c>
      <c r="IJ66" s="30">
        <f t="shared" si="224"/>
        <v>298.89189578252666</v>
      </c>
      <c r="IK66" s="29">
        <f t="shared" si="225"/>
        <v>45457.4</v>
      </c>
      <c r="IL66" s="25">
        <f t="shared" si="226"/>
        <v>-61.10323006622257</v>
      </c>
      <c r="IM66" s="25">
        <f t="shared" si="227"/>
        <v>2.170100818891683</v>
      </c>
      <c r="IN66" s="25">
        <f t="shared" si="228"/>
        <v>-60.127503992749254</v>
      </c>
      <c r="IP66" s="30">
        <f>HP66*100/Italia!BR66</f>
        <v>1.8446008996692118</v>
      </c>
      <c r="IQ66" s="30">
        <f>HR66*100/Italia!BT66</f>
        <v>1.6683101863328944</v>
      </c>
      <c r="IR66" s="30">
        <f>HS66*100/Italia!BU66</f>
        <v>1.725240772222529</v>
      </c>
    </row>
    <row r="67" spans="1:252" ht="12">
      <c r="A67" s="1" t="s">
        <v>64</v>
      </c>
      <c r="B67" s="19">
        <f>B66+B65</f>
        <v>3510.19</v>
      </c>
      <c r="C67" s="6" t="s">
        <v>1</v>
      </c>
      <c r="D67" s="9">
        <f>D66+D65</f>
        <v>570387</v>
      </c>
      <c r="E67" s="9"/>
      <c r="F67" s="19">
        <f>F65+F66</f>
        <v>3457.21</v>
      </c>
      <c r="G67" s="6" t="s">
        <v>1</v>
      </c>
      <c r="H67" s="9">
        <f>H66+H65</f>
        <v>571435</v>
      </c>
      <c r="I67" s="23">
        <f t="shared" si="214"/>
        <v>-1.5093200083186389</v>
      </c>
      <c r="J67" s="24" t="s">
        <v>1</v>
      </c>
      <c r="K67" s="23">
        <f t="shared" si="215"/>
        <v>0.18373490279407179</v>
      </c>
      <c r="L67" s="8"/>
      <c r="M67" s="19">
        <f>M65+M66</f>
        <v>3169.14</v>
      </c>
      <c r="N67" s="6" t="s">
        <v>1</v>
      </c>
      <c r="O67" s="9">
        <f>O66+O65</f>
        <v>613182</v>
      </c>
      <c r="P67" s="23">
        <f t="shared" si="216"/>
        <v>-8.332441477376264</v>
      </c>
      <c r="Q67" s="24" t="s">
        <v>1</v>
      </c>
      <c r="R67" s="23">
        <f t="shared" si="217"/>
        <v>7.305642811518368</v>
      </c>
      <c r="S67" s="8"/>
      <c r="T67" s="19">
        <f>T65+T66</f>
        <v>3036.19</v>
      </c>
      <c r="U67" s="6" t="s">
        <v>1</v>
      </c>
      <c r="V67" s="9">
        <f>V66+V65</f>
        <v>580224</v>
      </c>
      <c r="W67" s="23">
        <f t="shared" si="311"/>
        <v>-4.195144424039327</v>
      </c>
      <c r="X67" s="24" t="s">
        <v>1</v>
      </c>
      <c r="Y67" s="23">
        <f t="shared" si="312"/>
        <v>-5.3749131579204885</v>
      </c>
      <c r="Z67" s="8"/>
      <c r="AA67" s="19">
        <f>AA65+AA66</f>
        <v>2967.5</v>
      </c>
      <c r="AB67" s="6" t="s">
        <v>1</v>
      </c>
      <c r="AC67" s="9">
        <f>AC66+AC65</f>
        <v>596161</v>
      </c>
      <c r="AD67" s="23">
        <f t="shared" si="163"/>
        <v>-2.2623748843122513</v>
      </c>
      <c r="AE67" s="24" t="s">
        <v>1</v>
      </c>
      <c r="AF67" s="23">
        <f t="shared" si="164"/>
        <v>2.7466978270461055</v>
      </c>
      <c r="AG67" s="8"/>
      <c r="AH67" s="19">
        <f>AH65+AH66</f>
        <v>2454.64</v>
      </c>
      <c r="AI67" s="6" t="s">
        <v>1</v>
      </c>
      <c r="AJ67" s="9">
        <f>AJ66+AJ65</f>
        <v>527242</v>
      </c>
      <c r="AK67" s="23">
        <f t="shared" si="165"/>
        <v>-17.282561078348778</v>
      </c>
      <c r="AL67" s="24" t="s">
        <v>1</v>
      </c>
      <c r="AM67" s="23">
        <f t="shared" si="166"/>
        <v>-11.560467726000198</v>
      </c>
      <c r="AN67" s="8"/>
      <c r="AO67" s="19">
        <f>AO65+AO66</f>
        <v>2109.52</v>
      </c>
      <c r="AP67" s="6" t="s">
        <v>1</v>
      </c>
      <c r="AQ67" s="9">
        <f>AQ66+AQ65</f>
        <v>519841</v>
      </c>
      <c r="AR67" s="23">
        <f t="shared" si="167"/>
        <v>-14.059902877815077</v>
      </c>
      <c r="AS67" s="24" t="s">
        <v>1</v>
      </c>
      <c r="AT67" s="23">
        <f t="shared" si="168"/>
        <v>-1.4037197340120855</v>
      </c>
      <c r="AU67" s="8"/>
      <c r="AV67" s="19">
        <f>AV65+AV66</f>
        <v>1813.12</v>
      </c>
      <c r="AW67" s="6" t="s">
        <v>1</v>
      </c>
      <c r="AX67" s="9">
        <f>AX66+AX65</f>
        <v>449057</v>
      </c>
      <c r="AY67" s="23">
        <f t="shared" si="169"/>
        <v>-14.05058970761121</v>
      </c>
      <c r="AZ67" s="24" t="s">
        <v>1</v>
      </c>
      <c r="BA67" s="23">
        <f t="shared" si="170"/>
        <v>-13.61647119022932</v>
      </c>
      <c r="BB67" s="8"/>
      <c r="BC67" s="19">
        <f>BC66+BC65</f>
        <v>1699.6</v>
      </c>
      <c r="BD67" s="6" t="s">
        <v>1</v>
      </c>
      <c r="BE67" s="9">
        <f>BE66+BE65</f>
        <v>433055</v>
      </c>
      <c r="BF67" s="23">
        <f t="shared" si="171"/>
        <v>-6.26103070949523</v>
      </c>
      <c r="BG67" s="24" t="s">
        <v>1</v>
      </c>
      <c r="BH67" s="23">
        <f t="shared" si="172"/>
        <v>-3.563467443999315</v>
      </c>
      <c r="BI67" s="8"/>
      <c r="BJ67" s="19">
        <f>BJ65+BJ66</f>
        <v>1542.58</v>
      </c>
      <c r="BK67" s="6" t="s">
        <v>1</v>
      </c>
      <c r="BL67" s="9">
        <f>BL66+BL65</f>
        <v>399620</v>
      </c>
      <c r="BM67" s="23">
        <f t="shared" si="218"/>
        <v>-9.238644386914558</v>
      </c>
      <c r="BN67" s="24" t="s">
        <v>1</v>
      </c>
      <c r="BO67" s="23">
        <f t="shared" si="173"/>
        <v>-7.7207283139555045</v>
      </c>
      <c r="BP67" s="8"/>
      <c r="BQ67" s="19">
        <f>BQ65+BQ66</f>
        <v>1541.4</v>
      </c>
      <c r="BR67" s="6" t="s">
        <v>1</v>
      </c>
      <c r="BS67" s="9">
        <f>BS66+BS65</f>
        <v>335782</v>
      </c>
      <c r="BT67" s="23">
        <f t="shared" si="219"/>
        <v>-0.07649522228992112</v>
      </c>
      <c r="BU67" s="24" t="s">
        <v>1</v>
      </c>
      <c r="BV67" s="23">
        <f t="shared" si="174"/>
        <v>-15.97467594214504</v>
      </c>
      <c r="BW67" s="8"/>
      <c r="BX67" s="19">
        <f>BX65+BX66</f>
        <v>1627.6</v>
      </c>
      <c r="BY67" s="6" t="s">
        <v>1</v>
      </c>
      <c r="BZ67" s="9">
        <f>BZ66+BZ65</f>
        <v>363700</v>
      </c>
      <c r="CA67" s="23">
        <f t="shared" si="175"/>
        <v>5.592318671337736</v>
      </c>
      <c r="CB67" s="24" t="s">
        <v>1</v>
      </c>
      <c r="CC67" s="23">
        <f t="shared" si="176"/>
        <v>8.314322983364207</v>
      </c>
      <c r="CD67" s="8"/>
      <c r="CE67" s="19">
        <f>CE65+CE66</f>
        <v>1424.2</v>
      </c>
      <c r="CF67" s="6" t="s">
        <v>1</v>
      </c>
      <c r="CG67" s="9">
        <f>CG66+CG65</f>
        <v>296444</v>
      </c>
      <c r="CH67" s="23">
        <f t="shared" si="177"/>
        <v>-12.496927992135653</v>
      </c>
      <c r="CI67" s="24" t="s">
        <v>1</v>
      </c>
      <c r="CJ67" s="23">
        <f t="shared" si="178"/>
        <v>-18.492163871322518</v>
      </c>
      <c r="CK67" s="8"/>
      <c r="CL67" s="19">
        <f>CL65+CL66</f>
        <v>1433.2</v>
      </c>
      <c r="CM67" s="6" t="s">
        <v>1</v>
      </c>
      <c r="CN67" s="9">
        <f>CN66+CN65</f>
        <v>302267</v>
      </c>
      <c r="CO67" s="23">
        <f t="shared" si="179"/>
        <v>0.6319337171745474</v>
      </c>
      <c r="CP67" s="24" t="s">
        <v>1</v>
      </c>
      <c r="CQ67" s="23">
        <f t="shared" si="180"/>
        <v>1.9642833047725645</v>
      </c>
      <c r="CR67" s="8"/>
      <c r="CS67" s="19">
        <f>CS65+CS66</f>
        <v>1397.15</v>
      </c>
      <c r="CT67" s="6" t="s">
        <v>1</v>
      </c>
      <c r="CU67" s="9">
        <f>CU66+CU65</f>
        <v>306471</v>
      </c>
      <c r="CV67" s="23">
        <f t="shared" si="181"/>
        <v>-2.5153502651409525</v>
      </c>
      <c r="CW67" s="24" t="s">
        <v>1</v>
      </c>
      <c r="CX67" s="23">
        <f t="shared" si="182"/>
        <v>1.3908233449235325</v>
      </c>
      <c r="CY67" s="8"/>
      <c r="CZ67" s="19">
        <f>CZ65+CZ66</f>
        <v>1391.35</v>
      </c>
      <c r="DA67" s="6" t="s">
        <v>1</v>
      </c>
      <c r="DB67" s="9">
        <f>DB66+DB65</f>
        <v>319196.5</v>
      </c>
      <c r="DC67" s="23">
        <f t="shared" si="183"/>
        <v>-0.4151308019897755</v>
      </c>
      <c r="DD67" s="24" t="s">
        <v>1</v>
      </c>
      <c r="DE67" s="23">
        <f t="shared" si="184"/>
        <v>4.1522688933047505</v>
      </c>
      <c r="DF67" s="8"/>
      <c r="DG67" s="19">
        <f>DG65+DG66</f>
        <v>1369.4</v>
      </c>
      <c r="DH67" s="6" t="s">
        <v>1</v>
      </c>
      <c r="DI67" s="9">
        <f>DI66+DI65</f>
        <v>333594</v>
      </c>
      <c r="DJ67" s="23">
        <f t="shared" si="185"/>
        <v>-1.5776044848528272</v>
      </c>
      <c r="DK67" s="24" t="s">
        <v>1</v>
      </c>
      <c r="DL67" s="23">
        <f t="shared" si="186"/>
        <v>4.510544445192849</v>
      </c>
      <c r="DM67" s="8"/>
      <c r="DN67" s="19">
        <f>DN65+DN66</f>
        <v>1204.27</v>
      </c>
      <c r="DO67" s="6" t="s">
        <v>1</v>
      </c>
      <c r="DP67" s="9">
        <f>DP66+DP65</f>
        <v>279569</v>
      </c>
      <c r="DQ67" s="23">
        <f t="shared" si="187"/>
        <v>-12.058565795238792</v>
      </c>
      <c r="DR67" s="24" t="s">
        <v>1</v>
      </c>
      <c r="DS67" s="23">
        <f t="shared" si="188"/>
        <v>-16.194835638530662</v>
      </c>
      <c r="DT67" s="8"/>
      <c r="DU67" s="19">
        <f>DU65+DU66</f>
        <v>1050.3</v>
      </c>
      <c r="DV67" s="6" t="s">
        <v>1</v>
      </c>
      <c r="DW67" s="9">
        <f>DW66+DW65</f>
        <v>248681</v>
      </c>
      <c r="DX67" s="23">
        <f t="shared" si="189"/>
        <v>-12.785338835975324</v>
      </c>
      <c r="DY67" s="24" t="s">
        <v>1</v>
      </c>
      <c r="DZ67" s="23">
        <f t="shared" si="190"/>
        <v>-11.048435270004902</v>
      </c>
      <c r="EA67" s="8"/>
      <c r="EB67" s="19">
        <f>EB65+EB66</f>
        <v>938.0699999999999</v>
      </c>
      <c r="EC67" s="6" t="s">
        <v>1</v>
      </c>
      <c r="ED67" s="9">
        <f>ED66+ED65</f>
        <v>289899</v>
      </c>
      <c r="EE67" s="23">
        <f t="shared" si="191"/>
        <v>-10.685518423307627</v>
      </c>
      <c r="EF67" s="24" t="s">
        <v>1</v>
      </c>
      <c r="EG67" s="23">
        <f t="shared" si="192"/>
        <v>16.57464784201447</v>
      </c>
      <c r="EH67" s="8"/>
      <c r="EI67" s="19">
        <f>EI65+EI66</f>
        <v>880.2</v>
      </c>
      <c r="EJ67" s="6" t="s">
        <v>1</v>
      </c>
      <c r="EK67" s="9">
        <f>EK66+EK65</f>
        <v>245031</v>
      </c>
      <c r="EL67" s="23">
        <f t="shared" si="193"/>
        <v>-6.169049218075401</v>
      </c>
      <c r="EM67" s="24" t="s">
        <v>1</v>
      </c>
      <c r="EN67" s="23">
        <f t="shared" si="194"/>
        <v>-15.477114443306121</v>
      </c>
      <c r="EO67" s="8"/>
      <c r="EP67" s="19">
        <f>EP65+EP66</f>
        <v>793.8</v>
      </c>
      <c r="EQ67" s="6" t="s">
        <v>1</v>
      </c>
      <c r="ER67" s="9">
        <f>ER66+ER65</f>
        <v>212587</v>
      </c>
      <c r="ES67" s="23">
        <f t="shared" si="195"/>
        <v>-9.815950920245399</v>
      </c>
      <c r="ET67" s="24" t="s">
        <v>1</v>
      </c>
      <c r="EU67" s="23">
        <f t="shared" si="196"/>
        <v>-13.24077361639955</v>
      </c>
      <c r="EV67" s="8"/>
      <c r="EW67" s="19">
        <f>EW65+EW66</f>
        <v>788.25</v>
      </c>
      <c r="EX67" s="10">
        <f t="shared" si="265"/>
        <v>264.1763399936568</v>
      </c>
      <c r="EY67" s="9">
        <f>EY66+EY65</f>
        <v>208237</v>
      </c>
      <c r="EZ67" s="9">
        <f>EZ66+EZ65</f>
        <v>208167</v>
      </c>
      <c r="FA67" s="23">
        <f t="shared" si="198"/>
        <v>-0.6991685563114061</v>
      </c>
      <c r="FB67" s="24" t="s">
        <v>1</v>
      </c>
      <c r="FC67" s="23">
        <f t="shared" si="199"/>
        <v>-2.0791487720321555</v>
      </c>
      <c r="FD67" s="8"/>
      <c r="FE67" s="19">
        <f>FE65+FE66</f>
        <v>790.6</v>
      </c>
      <c r="FF67" s="10">
        <f t="shared" si="229"/>
        <v>272.5992916772072</v>
      </c>
      <c r="FG67" s="9">
        <f>FG66+FG65</f>
        <v>215517</v>
      </c>
      <c r="FH67" s="9">
        <f>FH66+FH65</f>
        <v>212910</v>
      </c>
      <c r="FI67" s="23">
        <f t="shared" si="266"/>
        <v>0.298128766254365</v>
      </c>
      <c r="FJ67" s="23">
        <f t="shared" si="271"/>
        <v>3.188382306966858</v>
      </c>
      <c r="FK67" s="23">
        <f t="shared" si="271"/>
        <v>3.4960165580564393</v>
      </c>
      <c r="FL67" s="23">
        <f t="shared" si="267"/>
        <v>2.278459121762822</v>
      </c>
      <c r="FM67" s="23"/>
      <c r="FN67" s="19">
        <f>FN65+FN66</f>
        <v>702.05</v>
      </c>
      <c r="FO67" s="6" t="s">
        <v>1</v>
      </c>
      <c r="FP67" s="19">
        <f>FP65+FP66</f>
        <v>191553</v>
      </c>
      <c r="FQ67" s="9">
        <f>FQ66+FQ65</f>
        <v>188740</v>
      </c>
      <c r="FR67" s="23">
        <f t="shared" si="298"/>
        <v>-11.200354161396405</v>
      </c>
      <c r="FS67" s="24" t="s">
        <v>1</v>
      </c>
      <c r="FT67" s="23">
        <f t="shared" si="53"/>
        <v>-11.119308453625464</v>
      </c>
      <c r="FU67" s="23">
        <f t="shared" si="53"/>
        <v>-11.352214550749139</v>
      </c>
      <c r="FV67" s="23"/>
      <c r="FW67" s="19">
        <f>FW65+FW66</f>
        <v>658.55</v>
      </c>
      <c r="FX67" s="6" t="s">
        <v>1</v>
      </c>
      <c r="FY67" s="19">
        <f>FY65+FY66</f>
        <v>168500</v>
      </c>
      <c r="FZ67" s="19">
        <f>FZ65+FZ66</f>
        <v>166961</v>
      </c>
      <c r="GA67" s="24" t="s">
        <v>1</v>
      </c>
      <c r="GB67" s="24" t="s">
        <v>1</v>
      </c>
      <c r="GC67" s="24" t="s">
        <v>1</v>
      </c>
      <c r="GD67" s="24" t="s">
        <v>1</v>
      </c>
      <c r="GE67" s="23"/>
      <c r="GF67" s="19">
        <f>GF65+GF66</f>
        <v>591.62</v>
      </c>
      <c r="GG67" s="6" t="s">
        <v>1</v>
      </c>
      <c r="GH67" s="19">
        <f>GH65+GH66</f>
        <v>150562</v>
      </c>
      <c r="GI67" s="19">
        <f>GI65+GI66</f>
        <v>147971</v>
      </c>
      <c r="GJ67" s="23">
        <f t="shared" si="300"/>
        <v>-10.163237415534127</v>
      </c>
      <c r="GK67" s="24" t="s">
        <v>1</v>
      </c>
      <c r="GL67" s="23">
        <f t="shared" si="57"/>
        <v>-10.645697329376858</v>
      </c>
      <c r="GM67" s="23">
        <f t="shared" si="57"/>
        <v>-11.373913668461498</v>
      </c>
      <c r="GN67" s="23"/>
      <c r="GO67" s="19">
        <f>GO65+GO66</f>
        <v>423.92</v>
      </c>
      <c r="GP67" s="6" t="s">
        <v>1</v>
      </c>
      <c r="GQ67" s="19">
        <f>GQ65+GQ66</f>
        <v>131856</v>
      </c>
      <c r="GR67" s="19">
        <f>GR65+GR66</f>
        <v>131811</v>
      </c>
      <c r="GS67" s="23">
        <f t="shared" si="301"/>
        <v>-28.345897704607694</v>
      </c>
      <c r="GT67" s="24" t="s">
        <v>1</v>
      </c>
      <c r="GU67" s="23">
        <f t="shared" si="59"/>
        <v>-12.424117639244969</v>
      </c>
      <c r="GV67" s="23">
        <f t="shared" si="60"/>
        <v>-10.921058856127217</v>
      </c>
      <c r="GW67" s="23"/>
      <c r="GX67" s="19">
        <f>GX65+GX66</f>
        <v>278.4</v>
      </c>
      <c r="GY67" s="6" t="s">
        <v>1</v>
      </c>
      <c r="GZ67" s="19">
        <f>GZ65+GZ66</f>
        <v>84800</v>
      </c>
      <c r="HA67" s="19">
        <f>HA65+HA66</f>
        <v>84755</v>
      </c>
      <c r="HB67" s="23">
        <f t="shared" si="302"/>
        <v>-34.32723155312324</v>
      </c>
      <c r="HC67" s="24" t="s">
        <v>1</v>
      </c>
      <c r="HD67" s="23">
        <f t="shared" si="62"/>
        <v>-35.68741657565829</v>
      </c>
      <c r="HE67" s="23">
        <f t="shared" si="63"/>
        <v>-35.69960018511354</v>
      </c>
      <c r="HF67" s="23"/>
      <c r="HG67" s="19">
        <f>HG65+HG66</f>
        <v>271.3</v>
      </c>
      <c r="HH67" s="6" t="s">
        <v>1</v>
      </c>
      <c r="HI67" s="19">
        <f>HI65+HI66</f>
        <v>89715</v>
      </c>
      <c r="HJ67" s="19">
        <f>HJ65+HJ66</f>
        <v>89670</v>
      </c>
      <c r="HK67" s="23">
        <f t="shared" si="304"/>
        <v>-2.5502873563218316</v>
      </c>
      <c r="HL67" s="24" t="s">
        <v>1</v>
      </c>
      <c r="HM67" s="23">
        <f t="shared" si="105"/>
        <v>5.79599056603773</v>
      </c>
      <c r="HN67" s="23">
        <f t="shared" si="106"/>
        <v>5.7990679015987325</v>
      </c>
      <c r="HO67" s="23"/>
      <c r="HP67" s="19">
        <f>HP65+HP66</f>
        <v>276.5</v>
      </c>
      <c r="HQ67" s="6" t="s">
        <v>1</v>
      </c>
      <c r="HR67" s="19">
        <f>HR65+HR66</f>
        <v>79350</v>
      </c>
      <c r="HS67" s="19">
        <f>HS65+HS66</f>
        <v>78990</v>
      </c>
      <c r="HT67" s="23">
        <f t="shared" si="306"/>
        <v>1.9166973829708809</v>
      </c>
      <c r="HU67" s="24" t="s">
        <v>1</v>
      </c>
      <c r="HV67" s="23">
        <f t="shared" si="64"/>
        <v>-11.55325196455442</v>
      </c>
      <c r="HW67" s="23">
        <f t="shared" si="65"/>
        <v>-11.91033790565406</v>
      </c>
      <c r="HX67" s="23"/>
      <c r="HY67" s="19"/>
      <c r="HZ67" s="6" t="s">
        <v>1</v>
      </c>
      <c r="IA67" s="19">
        <f>IA65+IA66</f>
        <v>68502</v>
      </c>
      <c r="IB67" s="19">
        <f>IB65+IB66</f>
        <v>68115</v>
      </c>
      <c r="IC67" s="23">
        <f t="shared" si="308"/>
        <v>-100</v>
      </c>
      <c r="ID67" s="24" t="s">
        <v>1</v>
      </c>
      <c r="IE67" s="23">
        <f t="shared" si="309"/>
        <v>-13.6710775047259</v>
      </c>
      <c r="IF67" s="23">
        <f t="shared" si="310"/>
        <v>-13.767565514622106</v>
      </c>
      <c r="IG67" s="23"/>
      <c r="IH67" s="1" t="s">
        <v>64</v>
      </c>
      <c r="II67" s="29">
        <f t="shared" si="223"/>
        <v>617.8689999999999</v>
      </c>
      <c r="IJ67" s="30">
        <f t="shared" si="224"/>
        <v>268.387815835432</v>
      </c>
      <c r="IK67" s="29">
        <f t="shared" si="225"/>
        <v>168860.3</v>
      </c>
      <c r="IL67" s="25">
        <f t="shared" si="226"/>
        <v>-55.249413710673295</v>
      </c>
      <c r="IM67" s="25">
        <f t="shared" si="227"/>
        <v>-100</v>
      </c>
      <c r="IN67" s="25">
        <f t="shared" si="228"/>
        <v>-53.221686802640995</v>
      </c>
      <c r="IP67" s="30">
        <f>HP67*100/Italia!BR67</f>
        <v>4.940473106137086</v>
      </c>
      <c r="IQ67" s="30">
        <f>HR67*100/Italia!BT67</f>
        <v>5.310804190281396</v>
      </c>
      <c r="IR67" s="30">
        <f>HS67*100/Italia!BU67</f>
        <v>5.516962967412272</v>
      </c>
    </row>
    <row r="68" spans="1:252" ht="12">
      <c r="A68" s="1" t="s">
        <v>65</v>
      </c>
      <c r="B68" s="20">
        <v>245</v>
      </c>
      <c r="C68" s="10">
        <v>258.7</v>
      </c>
      <c r="D68" s="11">
        <v>62600</v>
      </c>
      <c r="E68" s="9"/>
      <c r="F68" s="20">
        <v>251</v>
      </c>
      <c r="G68" s="10">
        <f>65230/F68</f>
        <v>259.8804780876494</v>
      </c>
      <c r="H68" s="11">
        <v>64400</v>
      </c>
      <c r="I68" s="23">
        <f t="shared" si="214"/>
        <v>2.448979591836732</v>
      </c>
      <c r="J68" s="23">
        <f>G68*100/C68-100</f>
        <v>0.4563115916696603</v>
      </c>
      <c r="K68" s="23">
        <f t="shared" si="215"/>
        <v>2.8753993610223603</v>
      </c>
      <c r="L68" s="8"/>
      <c r="M68" s="20">
        <v>261</v>
      </c>
      <c r="N68" s="10">
        <v>261.1</v>
      </c>
      <c r="O68" s="11">
        <v>68100</v>
      </c>
      <c r="P68" s="23">
        <f t="shared" si="216"/>
        <v>3.984063745019924</v>
      </c>
      <c r="Q68" s="23">
        <f>N68*100/G68-100</f>
        <v>0.46926260922889185</v>
      </c>
      <c r="R68" s="23">
        <f t="shared" si="217"/>
        <v>5.745341614906835</v>
      </c>
      <c r="S68" s="8"/>
      <c r="T68" s="20">
        <v>198</v>
      </c>
      <c r="U68" s="10">
        <v>264.8</v>
      </c>
      <c r="V68" s="11">
        <v>52400</v>
      </c>
      <c r="W68" s="23">
        <f t="shared" si="311"/>
        <v>-24.13793103448276</v>
      </c>
      <c r="X68" s="23">
        <f>U68*100/N68-100</f>
        <v>1.4170815779394843</v>
      </c>
      <c r="Y68" s="23">
        <f t="shared" si="312"/>
        <v>-23.054331864904555</v>
      </c>
      <c r="Z68" s="8"/>
      <c r="AA68" s="20">
        <v>202</v>
      </c>
      <c r="AB68" s="10">
        <v>262.2</v>
      </c>
      <c r="AC68" s="11">
        <v>48400</v>
      </c>
      <c r="AD68" s="23">
        <f aca="true" t="shared" si="313" ref="AD68:AD104">AA68*100/T68-100</f>
        <v>2.0202020202020208</v>
      </c>
      <c r="AE68" s="23">
        <f>AB68*100/U68-100</f>
        <v>-0.9818731117824768</v>
      </c>
      <c r="AF68" s="23">
        <f aca="true" t="shared" si="314" ref="AF68:AF104">AC68*100/V68-100</f>
        <v>-7.63358778625954</v>
      </c>
      <c r="AG68" s="8"/>
      <c r="AH68" s="20">
        <v>215</v>
      </c>
      <c r="AI68" s="10">
        <v>264.1</v>
      </c>
      <c r="AJ68" s="11">
        <v>54600</v>
      </c>
      <c r="AK68" s="23">
        <f aca="true" t="shared" si="315" ref="AK68:AK104">AH68*100/AA68-100</f>
        <v>6.43564356435644</v>
      </c>
      <c r="AL68" s="23">
        <f>AI68*100/AB68-100</f>
        <v>0.7246376811594359</v>
      </c>
      <c r="AM68" s="23">
        <f aca="true" t="shared" si="316" ref="AM68:AM104">AJ68*100/AC68-100</f>
        <v>12.809917355371894</v>
      </c>
      <c r="AN68" s="8"/>
      <c r="AO68" s="20">
        <v>222</v>
      </c>
      <c r="AP68" s="10">
        <v>259.4</v>
      </c>
      <c r="AQ68" s="11">
        <v>55200</v>
      </c>
      <c r="AR68" s="23">
        <f aca="true" t="shared" si="317" ref="AR68:AR104">AO68*100/AH68-100</f>
        <v>3.2558139534883708</v>
      </c>
      <c r="AS68" s="23">
        <f>AP68*100/AI68-100</f>
        <v>-1.7796289284362246</v>
      </c>
      <c r="AT68" s="23">
        <f aca="true" t="shared" si="318" ref="AT68:AT104">AQ68*100/AJ68-100</f>
        <v>1.098901098901095</v>
      </c>
      <c r="AU68" s="8"/>
      <c r="AV68" s="20">
        <v>242</v>
      </c>
      <c r="AW68" s="10">
        <v>261</v>
      </c>
      <c r="AX68" s="11">
        <v>58669</v>
      </c>
      <c r="AY68" s="23">
        <f aca="true" t="shared" si="319" ref="AY68:AY104">AV68*100/AO68-100</f>
        <v>9.009009009009006</v>
      </c>
      <c r="AZ68" s="23">
        <f>AW68*100/AP68-100</f>
        <v>0.6168080185042442</v>
      </c>
      <c r="BA68" s="23">
        <f aca="true" t="shared" si="320" ref="BA68:BA104">AX68*100/AQ68-100</f>
        <v>6.284420289855078</v>
      </c>
      <c r="BB68" s="8"/>
      <c r="BC68" s="20">
        <v>237</v>
      </c>
      <c r="BD68" s="10">
        <v>272.3</v>
      </c>
      <c r="BE68" s="11">
        <v>59865</v>
      </c>
      <c r="BF68" s="23">
        <f aca="true" t="shared" si="321" ref="BF68:BF104">BC68*100/AV68-100</f>
        <v>-2.066115702479337</v>
      </c>
      <c r="BG68" s="23">
        <f>BD68*100/AW68-100</f>
        <v>4.329501915708818</v>
      </c>
      <c r="BH68" s="23">
        <f aca="true" t="shared" si="322" ref="BH68:BH104">BE68*100/AX68-100</f>
        <v>2.0385552847329933</v>
      </c>
      <c r="BI68" s="8"/>
      <c r="BJ68" s="20">
        <v>240</v>
      </c>
      <c r="BK68" s="10">
        <v>326.3</v>
      </c>
      <c r="BL68" s="11">
        <v>72083</v>
      </c>
      <c r="BM68" s="23">
        <f t="shared" si="218"/>
        <v>1.2658227848101262</v>
      </c>
      <c r="BN68" s="23">
        <f>BK68*100/BD68-100</f>
        <v>19.83106867425633</v>
      </c>
      <c r="BO68" s="23">
        <f aca="true" t="shared" si="323" ref="BO68:BO104">BL68*100/BE68-100</f>
        <v>20.409254155182495</v>
      </c>
      <c r="BP68" s="8"/>
      <c r="BQ68" s="20">
        <v>237</v>
      </c>
      <c r="BR68" s="10">
        <v>321.31</v>
      </c>
      <c r="BS68" s="11">
        <v>67133</v>
      </c>
      <c r="BT68" s="23">
        <f t="shared" si="219"/>
        <v>-1.25</v>
      </c>
      <c r="BU68" s="23">
        <f>BR68*100/BK68-100</f>
        <v>-1.5292675452038083</v>
      </c>
      <c r="BV68" s="23">
        <f aca="true" t="shared" si="324" ref="BV68:BV104">BS68*100/BL68-100</f>
        <v>-6.867083778422099</v>
      </c>
      <c r="BW68" s="8"/>
      <c r="BX68" s="20">
        <v>248</v>
      </c>
      <c r="BY68" s="10">
        <v>315.4</v>
      </c>
      <c r="BZ68" s="11">
        <v>76144</v>
      </c>
      <c r="CA68" s="23">
        <f aca="true" t="shared" si="325" ref="CA68:CA104">BX68*100/BQ68-100</f>
        <v>4.641350210970458</v>
      </c>
      <c r="CB68" s="23">
        <f>BY68*100/BR68-100</f>
        <v>-1.8393451806666548</v>
      </c>
      <c r="CC68" s="23">
        <f aca="true" t="shared" si="326" ref="CC68:CC104">BZ68*100/BS68-100</f>
        <v>13.42260885108665</v>
      </c>
      <c r="CD68" s="8"/>
      <c r="CE68" s="20">
        <v>237</v>
      </c>
      <c r="CF68" s="10">
        <v>308.2</v>
      </c>
      <c r="CG68" s="11">
        <v>67467</v>
      </c>
      <c r="CH68" s="23">
        <f aca="true" t="shared" si="327" ref="CH68:CH104">CE68*100/BX68-100</f>
        <v>-4.435483870967744</v>
      </c>
      <c r="CI68" s="23">
        <f>CF68*100/BY68-100</f>
        <v>-2.282815472415976</v>
      </c>
      <c r="CJ68" s="23">
        <f aca="true" t="shared" si="328" ref="CJ68:CJ104">CG68*100/BZ68-100</f>
        <v>-11.39551376339567</v>
      </c>
      <c r="CK68" s="8"/>
      <c r="CL68" s="20">
        <v>243</v>
      </c>
      <c r="CM68" s="10">
        <v>307.2</v>
      </c>
      <c r="CN68" s="11">
        <v>70648</v>
      </c>
      <c r="CO68" s="23">
        <f aca="true" t="shared" si="329" ref="CO68:CO104">CL68*100/CE68-100</f>
        <v>2.5316455696202524</v>
      </c>
      <c r="CP68" s="23">
        <f>CM68*100/CF68-100</f>
        <v>-0.3244646333549639</v>
      </c>
      <c r="CQ68" s="23">
        <f aca="true" t="shared" si="330" ref="CQ68:CQ104">CN68*100/CG68-100</f>
        <v>4.71489765366772</v>
      </c>
      <c r="CR68" s="8"/>
      <c r="CS68" s="20">
        <v>313</v>
      </c>
      <c r="CT68" s="10">
        <v>282.3</v>
      </c>
      <c r="CU68" s="11">
        <v>84114</v>
      </c>
      <c r="CV68" s="23">
        <f aca="true" t="shared" si="331" ref="CV68:CV99">CS68*100/CL68-100</f>
        <v>28.806584362139915</v>
      </c>
      <c r="CW68" s="23">
        <f>CT68*100/CM68-100</f>
        <v>-8.10546875</v>
      </c>
      <c r="CX68" s="23">
        <f aca="true" t="shared" si="332" ref="CX68:CX99">CU68*100/CN68-100</f>
        <v>19.060695277997965</v>
      </c>
      <c r="CY68" s="8"/>
      <c r="CZ68" s="20">
        <v>317</v>
      </c>
      <c r="DA68" s="10">
        <v>299.1</v>
      </c>
      <c r="DB68" s="11">
        <v>90081</v>
      </c>
      <c r="DC68" s="23">
        <f aca="true" t="shared" si="333" ref="DC68:DC99">CZ68*100/CS68-100</f>
        <v>1.2779552715654887</v>
      </c>
      <c r="DD68" s="23">
        <f>DA68*100/CT68-100</f>
        <v>5.951115834218925</v>
      </c>
      <c r="DE68" s="23">
        <f aca="true" t="shared" si="334" ref="DE68:DE99">DB68*100/CU68-100</f>
        <v>7.093943933233476</v>
      </c>
      <c r="DF68" s="8"/>
      <c r="DG68" s="20">
        <v>323</v>
      </c>
      <c r="DH68" s="10">
        <v>300.06</v>
      </c>
      <c r="DI68" s="11">
        <v>91480</v>
      </c>
      <c r="DJ68" s="23">
        <f aca="true" t="shared" si="335" ref="DJ68:DJ99">DG68*100/CZ68-100</f>
        <v>1.8927444794952635</v>
      </c>
      <c r="DK68" s="23">
        <f>DH68*100/DA68-100</f>
        <v>0.32096288866598854</v>
      </c>
      <c r="DL68" s="23">
        <f aca="true" t="shared" si="336" ref="DL68:DL99">DI68*100/DB68-100</f>
        <v>1.5530467024122743</v>
      </c>
      <c r="DM68" s="8"/>
      <c r="DN68" s="20">
        <v>340</v>
      </c>
      <c r="DO68" s="10">
        <v>315.8</v>
      </c>
      <c r="DP68" s="11">
        <v>102320</v>
      </c>
      <c r="DQ68" s="23">
        <f aca="true" t="shared" si="337" ref="DQ68:DQ99">DN68*100/DG68-100</f>
        <v>5.263157894736835</v>
      </c>
      <c r="DR68" s="23">
        <f>DO68*100/DH68-100</f>
        <v>5.245617543158033</v>
      </c>
      <c r="DS68" s="23">
        <f aca="true" t="shared" si="338" ref="DS68:DS99">DP68*100/DI68-100</f>
        <v>11.849584608657636</v>
      </c>
      <c r="DT68" s="8"/>
      <c r="DU68" s="20">
        <v>261</v>
      </c>
      <c r="DV68" s="10">
        <v>339.7</v>
      </c>
      <c r="DW68" s="11">
        <v>83460</v>
      </c>
      <c r="DX68" s="23">
        <f aca="true" t="shared" si="339" ref="DX68:DX99">DU68*100/DN68-100</f>
        <v>-23.235294117647058</v>
      </c>
      <c r="DY68" s="23">
        <f>DV68*100/DO68-100</f>
        <v>7.568081063964527</v>
      </c>
      <c r="DZ68" s="23">
        <f aca="true" t="shared" si="340" ref="DZ68:DZ99">DW68*100/DP68-100</f>
        <v>-18.43236903831118</v>
      </c>
      <c r="EA68" s="8"/>
      <c r="EB68" s="20">
        <v>326</v>
      </c>
      <c r="EC68" s="10">
        <v>346.4</v>
      </c>
      <c r="ED68" s="11">
        <v>107714</v>
      </c>
      <c r="EE68" s="23">
        <f aca="true" t="shared" si="341" ref="EE68:EE99">EB68*100/DU68-100</f>
        <v>24.904214559386972</v>
      </c>
      <c r="EF68" s="23">
        <f>EC68*100/DV68-100</f>
        <v>1.9723285251692744</v>
      </c>
      <c r="EG68" s="23">
        <f aca="true" t="shared" si="342" ref="EG68:EG99">ED68*100/DW68-100</f>
        <v>29.06062784567459</v>
      </c>
      <c r="EH68" s="8"/>
      <c r="EI68" s="20">
        <v>326</v>
      </c>
      <c r="EJ68" s="10">
        <v>347.2</v>
      </c>
      <c r="EK68" s="11">
        <v>105525</v>
      </c>
      <c r="EL68" s="23">
        <f aca="true" t="shared" si="343" ref="EL68:EL104">EI68*100/EB68-100</f>
        <v>0</v>
      </c>
      <c r="EM68" s="23">
        <f>EJ68*100/EC68-100</f>
        <v>0.23094688221709703</v>
      </c>
      <c r="EN68" s="23">
        <f aca="true" t="shared" si="344" ref="EN68:EN104">EK68*100/ED68-100</f>
        <v>-2.0322335072506803</v>
      </c>
      <c r="EO68" s="8"/>
      <c r="EP68" s="20">
        <v>301</v>
      </c>
      <c r="EQ68" s="10">
        <v>359.1</v>
      </c>
      <c r="ER68" s="11">
        <v>103300</v>
      </c>
      <c r="ES68" s="23">
        <f aca="true" t="shared" si="345" ref="ES68:ES104">EP68*100/EI68-100</f>
        <v>-7.668711656441715</v>
      </c>
      <c r="ET68" s="23">
        <f>EQ68*100/EJ68-100</f>
        <v>3.427419354838719</v>
      </c>
      <c r="EU68" s="23">
        <f aca="true" t="shared" si="346" ref="EU68:EU104">ER68*100/EK68-100</f>
        <v>-2.1085050935797227</v>
      </c>
      <c r="EV68" s="8"/>
      <c r="EW68" s="20">
        <v>288</v>
      </c>
      <c r="EX68" s="10">
        <f t="shared" si="265"/>
        <v>357.2986111111111</v>
      </c>
      <c r="EY68" s="11">
        <v>102902</v>
      </c>
      <c r="EZ68" s="11">
        <v>98774</v>
      </c>
      <c r="FA68" s="23">
        <f t="shared" si="198"/>
        <v>-4.3189368770764105</v>
      </c>
      <c r="FB68" s="23">
        <f>EX68*100/EQ68-100</f>
        <v>-0.50163990222471</v>
      </c>
      <c r="FC68" s="23">
        <f t="shared" si="199"/>
        <v>-4.381413359148112</v>
      </c>
      <c r="FD68" s="8"/>
      <c r="FE68" s="20">
        <v>272</v>
      </c>
      <c r="FF68" s="10">
        <f t="shared" si="229"/>
        <v>361.2132352941176</v>
      </c>
      <c r="FG68" s="11">
        <v>98250</v>
      </c>
      <c r="FH68" s="11">
        <v>94116</v>
      </c>
      <c r="FI68" s="23">
        <f t="shared" si="266"/>
        <v>-5.555555555555557</v>
      </c>
      <c r="FJ68" s="23">
        <f t="shared" si="271"/>
        <v>1.0956169605118333</v>
      </c>
      <c r="FK68" s="23">
        <f t="shared" si="271"/>
        <v>-4.520806203961044</v>
      </c>
      <c r="FL68" s="23">
        <f t="shared" si="267"/>
        <v>-4.715815902970419</v>
      </c>
      <c r="FM68" s="23"/>
      <c r="FN68" s="20">
        <v>263</v>
      </c>
      <c r="FO68" s="10">
        <f t="shared" si="220"/>
        <v>358.66920152091257</v>
      </c>
      <c r="FP68" s="11">
        <v>94330</v>
      </c>
      <c r="FQ68" s="11">
        <v>90158</v>
      </c>
      <c r="FR68" s="23">
        <f>FN68*100/FE68-100</f>
        <v>-3.308823529411768</v>
      </c>
      <c r="FS68" s="23">
        <f>FO68*100/FF68-100</f>
        <v>-0.704302479706655</v>
      </c>
      <c r="FT68" s="23">
        <f t="shared" si="53"/>
        <v>-3.9898218829516594</v>
      </c>
      <c r="FU68" s="23">
        <f t="shared" si="53"/>
        <v>-4.205448595350418</v>
      </c>
      <c r="FV68" s="23"/>
      <c r="FW68" s="20">
        <v>235</v>
      </c>
      <c r="FX68" s="10">
        <f>FY68/FW68</f>
        <v>353.2340425531915</v>
      </c>
      <c r="FY68" s="20">
        <v>83010</v>
      </c>
      <c r="FZ68" s="20">
        <v>78740</v>
      </c>
      <c r="GA68" s="23">
        <f aca="true" t="shared" si="347" ref="GA68:GD69">FW68*100/FN68-100</f>
        <v>-10.646387832699617</v>
      </c>
      <c r="GB68" s="23">
        <f t="shared" si="347"/>
        <v>-1.5153681845761184</v>
      </c>
      <c r="GC68" s="23">
        <f t="shared" si="347"/>
        <v>-12.000424043252409</v>
      </c>
      <c r="GD68" s="23">
        <f t="shared" si="347"/>
        <v>-12.664433549990022</v>
      </c>
      <c r="GE68" s="23"/>
      <c r="GF68" s="20">
        <v>219</v>
      </c>
      <c r="GG68" s="10">
        <f>GH68/GF68</f>
        <v>347.1232876712329</v>
      </c>
      <c r="GH68" s="20">
        <v>76020</v>
      </c>
      <c r="GI68" s="20">
        <v>72820</v>
      </c>
      <c r="GJ68" s="23">
        <f t="shared" si="300"/>
        <v>-6.808510638297875</v>
      </c>
      <c r="GK68" s="23">
        <f t="shared" si="300"/>
        <v>-1.7299450635589295</v>
      </c>
      <c r="GL68" s="23">
        <f t="shared" si="57"/>
        <v>-8.420672208167687</v>
      </c>
      <c r="GM68" s="23">
        <f t="shared" si="57"/>
        <v>-7.518415036830078</v>
      </c>
      <c r="GN68" s="23"/>
      <c r="GO68" s="20">
        <v>165</v>
      </c>
      <c r="GP68" s="10">
        <f>GQ68/GO68</f>
        <v>391.6363636363636</v>
      </c>
      <c r="GQ68" s="20">
        <v>64620</v>
      </c>
      <c r="GR68" s="20">
        <v>62220</v>
      </c>
      <c r="GS68" s="23">
        <f t="shared" si="301"/>
        <v>-24.657534246575338</v>
      </c>
      <c r="GT68" s="23">
        <f t="shared" si="301"/>
        <v>12.823419674248385</v>
      </c>
      <c r="GU68" s="23">
        <f t="shared" si="59"/>
        <v>-14.996053670086823</v>
      </c>
      <c r="GV68" s="23">
        <f t="shared" si="60"/>
        <v>-14.556440538313652</v>
      </c>
      <c r="GW68" s="23"/>
      <c r="GX68" s="20">
        <v>191</v>
      </c>
      <c r="GY68" s="10">
        <f>GZ68/GX68</f>
        <v>403.586387434555</v>
      </c>
      <c r="GZ68" s="20">
        <v>77085</v>
      </c>
      <c r="HA68" s="20">
        <v>77085</v>
      </c>
      <c r="HB68" s="23">
        <f t="shared" si="302"/>
        <v>15.75757575757575</v>
      </c>
      <c r="HC68" s="23">
        <f>GY68*100/GP68-100</f>
        <v>3.0513059837535934</v>
      </c>
      <c r="HD68" s="23">
        <f t="shared" si="62"/>
        <v>19.289693593314766</v>
      </c>
      <c r="HE68" s="23">
        <f t="shared" si="63"/>
        <v>23.891031822565097</v>
      </c>
      <c r="HF68" s="23"/>
      <c r="HG68" s="20">
        <v>196</v>
      </c>
      <c r="HH68" s="10">
        <f>HI68/HG68</f>
        <v>437.2959183673469</v>
      </c>
      <c r="HI68" s="20">
        <v>85710</v>
      </c>
      <c r="HJ68" s="20">
        <v>85710</v>
      </c>
      <c r="HK68" s="23">
        <f t="shared" si="304"/>
        <v>2.617801047120423</v>
      </c>
      <c r="HL68" s="23">
        <f>HH68*100/GY68-100</f>
        <v>8.352494529627364</v>
      </c>
      <c r="HM68" s="23">
        <f t="shared" si="105"/>
        <v>11.188947266005059</v>
      </c>
      <c r="HN68" s="23">
        <f t="shared" si="106"/>
        <v>11.188947266005059</v>
      </c>
      <c r="HO68" s="23"/>
      <c r="HP68" s="20">
        <v>189</v>
      </c>
      <c r="HQ68" s="10">
        <f>HR68/HP68</f>
        <v>440.4761904761905</v>
      </c>
      <c r="HR68" s="20">
        <v>83250</v>
      </c>
      <c r="HS68" s="20">
        <v>83250</v>
      </c>
      <c r="HT68" s="23">
        <f t="shared" si="306"/>
        <v>-3.5714285714285694</v>
      </c>
      <c r="HU68" s="23">
        <f>HQ68*100/HH68-100</f>
        <v>0.7272585851514748</v>
      </c>
      <c r="HV68" s="23">
        <f t="shared" si="64"/>
        <v>-2.8701435071753565</v>
      </c>
      <c r="HW68" s="23">
        <f t="shared" si="65"/>
        <v>-2.8701435071753565</v>
      </c>
      <c r="HX68" s="23"/>
      <c r="HY68" s="20">
        <v>160</v>
      </c>
      <c r="HZ68" s="10">
        <f>IA68/HY68</f>
        <v>432.1875</v>
      </c>
      <c r="IA68" s="20">
        <v>69150</v>
      </c>
      <c r="IB68" s="20">
        <v>69150</v>
      </c>
      <c r="IC68" s="23">
        <f t="shared" si="308"/>
        <v>-15.343915343915342</v>
      </c>
      <c r="ID68" s="23">
        <f>HZ68*100/HQ68-100</f>
        <v>-1.881756756756758</v>
      </c>
      <c r="IE68" s="23">
        <f t="shared" si="309"/>
        <v>-16.93693693693693</v>
      </c>
      <c r="IF68" s="23">
        <f t="shared" si="310"/>
        <v>-16.93693693693693</v>
      </c>
      <c r="IG68" s="23"/>
      <c r="IH68" s="1" t="s">
        <v>65</v>
      </c>
      <c r="II68" s="29">
        <f t="shared" si="223"/>
        <v>245.6</v>
      </c>
      <c r="IJ68" s="30">
        <f t="shared" si="224"/>
        <v>371.6357047588831</v>
      </c>
      <c r="IK68" s="29">
        <f t="shared" si="225"/>
        <v>86844.8</v>
      </c>
      <c r="IL68" s="25">
        <f t="shared" si="226"/>
        <v>-23.045602605863195</v>
      </c>
      <c r="IM68" s="25">
        <f t="shared" si="227"/>
        <v>18.523646903617887</v>
      </c>
      <c r="IN68" s="25">
        <f t="shared" si="228"/>
        <v>-4.139338221747309</v>
      </c>
      <c r="IP68" s="30">
        <f>HP68*100/Italia!BR68</f>
        <v>2.0543478260869565</v>
      </c>
      <c r="IQ68" s="30">
        <f>HR68*100/Italia!BT68</f>
        <v>3.8058221535878958</v>
      </c>
      <c r="IR68" s="30">
        <f>HS68*100/Italia!BU68</f>
        <v>3.910014710109396</v>
      </c>
    </row>
    <row r="69" spans="1:252" ht="12">
      <c r="A69" s="1" t="s">
        <v>66</v>
      </c>
      <c r="B69" s="22">
        <v>3</v>
      </c>
      <c r="C69" s="10">
        <v>293.3</v>
      </c>
      <c r="D69" s="11">
        <v>880</v>
      </c>
      <c r="E69" s="9"/>
      <c r="F69" s="22">
        <v>8.1</v>
      </c>
      <c r="G69" s="10">
        <v>262.3</v>
      </c>
      <c r="H69" s="11">
        <v>2110</v>
      </c>
      <c r="I69" s="23">
        <f t="shared" si="214"/>
        <v>170</v>
      </c>
      <c r="J69" s="23">
        <f>G69*100/C69-100</f>
        <v>-10.569382884418687</v>
      </c>
      <c r="K69" s="23">
        <f t="shared" si="215"/>
        <v>139.77272727272728</v>
      </c>
      <c r="L69" s="8"/>
      <c r="M69" s="22">
        <v>8.4</v>
      </c>
      <c r="N69" s="10">
        <f>2220/M69</f>
        <v>264.2857142857143</v>
      </c>
      <c r="O69" s="11">
        <v>2070</v>
      </c>
      <c r="P69" s="23">
        <f t="shared" si="216"/>
        <v>3.7037037037037095</v>
      </c>
      <c r="Q69" s="23">
        <f>N69*100/G69-100</f>
        <v>0.7570393769402415</v>
      </c>
      <c r="R69" s="23">
        <f t="shared" si="217"/>
        <v>-1.895734597156391</v>
      </c>
      <c r="S69" s="8"/>
      <c r="T69" s="22">
        <v>7.3</v>
      </c>
      <c r="U69" s="10">
        <v>231.8</v>
      </c>
      <c r="V69" s="11">
        <v>1610</v>
      </c>
      <c r="W69" s="23">
        <f t="shared" si="311"/>
        <v>-13.095238095238102</v>
      </c>
      <c r="X69" s="23">
        <f>U69*100/N69-100</f>
        <v>-12.291891891891893</v>
      </c>
      <c r="Y69" s="23">
        <f t="shared" si="312"/>
        <v>-22.22222222222223</v>
      </c>
      <c r="Z69" s="8"/>
      <c r="AA69" s="22">
        <v>19.5</v>
      </c>
      <c r="AB69" s="10">
        <f>5165/AA69</f>
        <v>264.87179487179486</v>
      </c>
      <c r="AC69" s="11">
        <v>5130</v>
      </c>
      <c r="AD69" s="23">
        <f t="shared" si="313"/>
        <v>167.1232876712329</v>
      </c>
      <c r="AE69" s="23">
        <f>AB69*100/U69-100</f>
        <v>14.267383464967565</v>
      </c>
      <c r="AF69" s="23">
        <f t="shared" si="314"/>
        <v>218.63354037267078</v>
      </c>
      <c r="AG69" s="8"/>
      <c r="AH69" s="22">
        <v>20.1</v>
      </c>
      <c r="AI69" s="10">
        <f>5480/AH69</f>
        <v>272.63681592039796</v>
      </c>
      <c r="AJ69" s="11">
        <v>5405</v>
      </c>
      <c r="AK69" s="23">
        <f t="shared" si="315"/>
        <v>3.0769230769230944</v>
      </c>
      <c r="AL69" s="23">
        <f>AI69*100/AB69-100</f>
        <v>2.9316149167039782</v>
      </c>
      <c r="AM69" s="23">
        <f t="shared" si="316"/>
        <v>5.360623781676409</v>
      </c>
      <c r="AN69" s="8"/>
      <c r="AO69" s="22">
        <v>20.3</v>
      </c>
      <c r="AP69" s="10">
        <f>5398/AO69</f>
        <v>265.9113300492611</v>
      </c>
      <c r="AQ69" s="11">
        <v>4721</v>
      </c>
      <c r="AR69" s="23">
        <f t="shared" si="317"/>
        <v>0.9950248756218798</v>
      </c>
      <c r="AS69" s="23">
        <f>AP69*100/AI69-100</f>
        <v>-2.466829671712617</v>
      </c>
      <c r="AT69" s="23">
        <f t="shared" si="318"/>
        <v>-12.654949121184089</v>
      </c>
      <c r="AU69" s="8"/>
      <c r="AV69" s="22">
        <v>46.9</v>
      </c>
      <c r="AW69" s="10">
        <f>16195/AV69</f>
        <v>345.3091684434968</v>
      </c>
      <c r="AX69" s="11">
        <v>15055</v>
      </c>
      <c r="AY69" s="23">
        <f t="shared" si="319"/>
        <v>131.03448275862067</v>
      </c>
      <c r="AZ69" s="23">
        <f>AW69*100/AP69-100</f>
        <v>29.858764716617003</v>
      </c>
      <c r="BA69" s="23">
        <f t="shared" si="320"/>
        <v>218.89430205464942</v>
      </c>
      <c r="BB69" s="8"/>
      <c r="BC69" s="22">
        <v>38.9</v>
      </c>
      <c r="BD69" s="10">
        <f>12915/BC69</f>
        <v>332.0051413881748</v>
      </c>
      <c r="BE69" s="11">
        <v>11965</v>
      </c>
      <c r="BF69" s="23">
        <f t="shared" si="321"/>
        <v>-17.057569296375263</v>
      </c>
      <c r="BG69" s="23">
        <f>BD69*100/AW69-100</f>
        <v>-3.8527870879567843</v>
      </c>
      <c r="BH69" s="23">
        <f t="shared" si="322"/>
        <v>-20.524742610428433</v>
      </c>
      <c r="BI69" s="8"/>
      <c r="BJ69" s="22">
        <v>39.9</v>
      </c>
      <c r="BK69" s="10">
        <f>13745/BJ69</f>
        <v>344.48621553884715</v>
      </c>
      <c r="BL69" s="11">
        <v>12705</v>
      </c>
      <c r="BM69" s="23">
        <f t="shared" si="218"/>
        <v>2.5706940874036093</v>
      </c>
      <c r="BN69" s="23">
        <f>BK69*100/BD69-100</f>
        <v>3.7593014669853204</v>
      </c>
      <c r="BO69" s="23">
        <f t="shared" si="323"/>
        <v>6.1847053907229395</v>
      </c>
      <c r="BP69" s="8"/>
      <c r="BQ69" s="22">
        <v>41.6</v>
      </c>
      <c r="BR69" s="10">
        <f>14520/BQ69</f>
        <v>349.03846153846155</v>
      </c>
      <c r="BS69" s="11">
        <v>13395</v>
      </c>
      <c r="BT69" s="23">
        <f t="shared" si="219"/>
        <v>4.260651629072683</v>
      </c>
      <c r="BU69" s="23">
        <f>BR69*100/BK69-100</f>
        <v>1.3214595517250984</v>
      </c>
      <c r="BV69" s="23">
        <f t="shared" si="324"/>
        <v>5.430932703659977</v>
      </c>
      <c r="BW69" s="8"/>
      <c r="BX69" s="22">
        <v>57.2</v>
      </c>
      <c r="BY69" s="10">
        <f>20357/BX69</f>
        <v>355.8916083916084</v>
      </c>
      <c r="BZ69" s="11">
        <v>19247</v>
      </c>
      <c r="CA69" s="23">
        <f t="shared" si="325"/>
        <v>37.5</v>
      </c>
      <c r="CB69" s="23">
        <f>BY69*100/BR69-100</f>
        <v>1.9634360130227861</v>
      </c>
      <c r="CC69" s="23">
        <f t="shared" si="326"/>
        <v>43.68794326241135</v>
      </c>
      <c r="CD69" s="8"/>
      <c r="CE69" s="22">
        <v>58.9</v>
      </c>
      <c r="CF69" s="10">
        <f>21292/CE69</f>
        <v>361.49405772495754</v>
      </c>
      <c r="CG69" s="11">
        <v>20176</v>
      </c>
      <c r="CH69" s="23">
        <f t="shared" si="327"/>
        <v>2.9720279720279734</v>
      </c>
      <c r="CI69" s="23">
        <f>CF69*100/BY69-100</f>
        <v>1.5742010211110227</v>
      </c>
      <c r="CJ69" s="23">
        <f t="shared" si="328"/>
        <v>4.826726243050871</v>
      </c>
      <c r="CK69" s="8"/>
      <c r="CL69" s="22">
        <v>77</v>
      </c>
      <c r="CM69" s="10">
        <f>24430/CL69</f>
        <v>317.27272727272725</v>
      </c>
      <c r="CN69" s="11">
        <v>21930</v>
      </c>
      <c r="CO69" s="23">
        <f t="shared" si="329"/>
        <v>30.73005093378609</v>
      </c>
      <c r="CP69" s="23">
        <f>CM69*100/CF69-100</f>
        <v>-12.23293426468328</v>
      </c>
      <c r="CQ69" s="23">
        <f t="shared" si="330"/>
        <v>8.693497224425059</v>
      </c>
      <c r="CR69" s="8"/>
      <c r="CS69" s="22">
        <v>58</v>
      </c>
      <c r="CT69" s="10">
        <f>16760/CS69</f>
        <v>288.9655172413793</v>
      </c>
      <c r="CU69" s="11">
        <v>14260</v>
      </c>
      <c r="CV69" s="23">
        <f t="shared" si="331"/>
        <v>-24.675324675324674</v>
      </c>
      <c r="CW69" s="23">
        <f>CT69*100/CM69-100</f>
        <v>-8.922043276356078</v>
      </c>
      <c r="CX69" s="23">
        <f t="shared" si="332"/>
        <v>-34.974920200638394</v>
      </c>
      <c r="CY69" s="8"/>
      <c r="CZ69" s="22">
        <v>73.5</v>
      </c>
      <c r="DA69" s="10">
        <f>23050/CZ69</f>
        <v>313.6054421768707</v>
      </c>
      <c r="DB69" s="11">
        <v>20550</v>
      </c>
      <c r="DC69" s="23">
        <f t="shared" si="333"/>
        <v>26.724137931034477</v>
      </c>
      <c r="DD69" s="23">
        <f>DA69*100/CT69-100</f>
        <v>8.526942996769108</v>
      </c>
      <c r="DE69" s="23">
        <f t="shared" si="334"/>
        <v>44.109396914445995</v>
      </c>
      <c r="DF69" s="8"/>
      <c r="DG69" s="22">
        <v>68.5</v>
      </c>
      <c r="DH69" s="10">
        <f>20880/DG69</f>
        <v>304.8175182481752</v>
      </c>
      <c r="DI69" s="11">
        <v>18380</v>
      </c>
      <c r="DJ69" s="23">
        <f t="shared" si="335"/>
        <v>-6.802721088435376</v>
      </c>
      <c r="DK69" s="23">
        <f>DH69*100/DA69-100</f>
        <v>-2.802223031492943</v>
      </c>
      <c r="DL69" s="23">
        <f t="shared" si="336"/>
        <v>-10.559610705596114</v>
      </c>
      <c r="DM69" s="8"/>
      <c r="DN69" s="22">
        <v>91.05</v>
      </c>
      <c r="DO69" s="10">
        <f>30075/DN69</f>
        <v>330.31301482701815</v>
      </c>
      <c r="DP69" s="11">
        <v>25540</v>
      </c>
      <c r="DQ69" s="23">
        <f t="shared" si="337"/>
        <v>32.91970802919707</v>
      </c>
      <c r="DR69" s="23">
        <f>DO69*100/DH69-100</f>
        <v>8.364183504074433</v>
      </c>
      <c r="DS69" s="23">
        <f t="shared" si="338"/>
        <v>38.955386289445045</v>
      </c>
      <c r="DT69" s="8"/>
      <c r="DU69" s="22">
        <v>70.85</v>
      </c>
      <c r="DV69" s="10">
        <f>DW69/DU69</f>
        <v>278.8990825688074</v>
      </c>
      <c r="DW69" s="11">
        <v>19760</v>
      </c>
      <c r="DX69" s="23">
        <f t="shared" si="339"/>
        <v>-22.185612300933556</v>
      </c>
      <c r="DY69" s="23">
        <f>DV69*100/DO69-100</f>
        <v>-15.565215401862304</v>
      </c>
      <c r="DZ69" s="23">
        <f t="shared" si="340"/>
        <v>-22.631166797180896</v>
      </c>
      <c r="EA69" s="8"/>
      <c r="EB69" s="22">
        <v>72.65</v>
      </c>
      <c r="EC69" s="10">
        <f>24100/EB69</f>
        <v>331.7274604267034</v>
      </c>
      <c r="ED69" s="11">
        <v>20350</v>
      </c>
      <c r="EE69" s="23">
        <f t="shared" si="341"/>
        <v>2.5405786873676988</v>
      </c>
      <c r="EF69" s="23">
        <f>EC69*100/DV69-100</f>
        <v>18.9417539029956</v>
      </c>
      <c r="EG69" s="23">
        <f t="shared" si="342"/>
        <v>2.985829959514163</v>
      </c>
      <c r="EH69" s="8"/>
      <c r="EI69" s="22">
        <v>69</v>
      </c>
      <c r="EJ69" s="10">
        <f>22980/EI69</f>
        <v>333.04347826086956</v>
      </c>
      <c r="EK69" s="11">
        <v>19605</v>
      </c>
      <c r="EL69" s="23">
        <f t="shared" si="343"/>
        <v>-5.02408809359946</v>
      </c>
      <c r="EM69" s="23">
        <f>EJ69*100/EC69-100</f>
        <v>0.3967165794696115</v>
      </c>
      <c r="EN69" s="23">
        <f t="shared" si="344"/>
        <v>-3.660933660933665</v>
      </c>
      <c r="EO69" s="8"/>
      <c r="EP69" s="22">
        <v>71</v>
      </c>
      <c r="EQ69" s="10">
        <f>23480/EP69</f>
        <v>330.7042253521127</v>
      </c>
      <c r="ER69" s="11">
        <v>20105</v>
      </c>
      <c r="ES69" s="23">
        <f t="shared" si="345"/>
        <v>2.898550724637687</v>
      </c>
      <c r="ET69" s="23">
        <f>EQ69*100/EJ69-100</f>
        <v>-0.7023866436215087</v>
      </c>
      <c r="EU69" s="23">
        <f t="shared" si="346"/>
        <v>2.550369803621521</v>
      </c>
      <c r="EV69" s="8"/>
      <c r="EW69" s="22">
        <v>52.2</v>
      </c>
      <c r="EX69" s="10">
        <f t="shared" si="265"/>
        <v>342.1455938697318</v>
      </c>
      <c r="EY69" s="11">
        <v>17860</v>
      </c>
      <c r="EZ69" s="11">
        <v>15985</v>
      </c>
      <c r="FA69" s="23">
        <f t="shared" si="198"/>
        <v>-26.478873239436624</v>
      </c>
      <c r="FB69" s="23">
        <f>EX69*100/EQ69-100</f>
        <v>3.4596983166565423</v>
      </c>
      <c r="FC69" s="23">
        <f t="shared" si="199"/>
        <v>-20.492414822183534</v>
      </c>
      <c r="FD69" s="8"/>
      <c r="FE69" s="22">
        <v>50</v>
      </c>
      <c r="FF69" s="10">
        <f t="shared" si="229"/>
        <v>348</v>
      </c>
      <c r="FG69" s="11">
        <v>17400</v>
      </c>
      <c r="FH69" s="11">
        <v>15900</v>
      </c>
      <c r="FI69" s="23">
        <f t="shared" si="266"/>
        <v>-4.214559386973178</v>
      </c>
      <c r="FJ69" s="23">
        <f t="shared" si="271"/>
        <v>1.7110862262038182</v>
      </c>
      <c r="FK69" s="23">
        <f t="shared" si="271"/>
        <v>-2.575587905935052</v>
      </c>
      <c r="FL69" s="23">
        <f t="shared" si="267"/>
        <v>-0.5317485142320919</v>
      </c>
      <c r="FM69" s="23"/>
      <c r="FN69" s="22">
        <v>45</v>
      </c>
      <c r="FO69" s="10">
        <f t="shared" si="220"/>
        <v>362.22222222222223</v>
      </c>
      <c r="FP69" s="11">
        <v>16300</v>
      </c>
      <c r="FQ69" s="11">
        <v>15175</v>
      </c>
      <c r="FR69" s="23">
        <f>FN69*100/FE69-100</f>
        <v>-10</v>
      </c>
      <c r="FS69" s="23">
        <f>FO69*100/FF69-100</f>
        <v>4.086845466155822</v>
      </c>
      <c r="FT69" s="23">
        <f t="shared" si="53"/>
        <v>-6.3218390804597675</v>
      </c>
      <c r="FU69" s="23">
        <f t="shared" si="53"/>
        <v>-4.559748427672957</v>
      </c>
      <c r="FV69" s="23"/>
      <c r="FW69" s="22">
        <v>43.2</v>
      </c>
      <c r="FX69" s="10">
        <f>FY69/FW69</f>
        <v>367.1296296296296</v>
      </c>
      <c r="FY69" s="20">
        <v>15860</v>
      </c>
      <c r="FZ69" s="20">
        <v>14660</v>
      </c>
      <c r="GA69" s="23">
        <f t="shared" si="347"/>
        <v>-4</v>
      </c>
      <c r="GB69" s="23">
        <f t="shared" si="347"/>
        <v>1.3548057259713744</v>
      </c>
      <c r="GC69" s="23">
        <f t="shared" si="347"/>
        <v>-2.699386503067487</v>
      </c>
      <c r="GD69" s="23">
        <f t="shared" si="347"/>
        <v>-3.3937397034596444</v>
      </c>
      <c r="GE69" s="23"/>
      <c r="GF69" s="22">
        <v>44.2</v>
      </c>
      <c r="GG69" s="10">
        <f>GH69/GF69</f>
        <v>354.29864253393663</v>
      </c>
      <c r="GH69" s="20">
        <v>15660</v>
      </c>
      <c r="GI69" s="20">
        <v>14785</v>
      </c>
      <c r="GJ69" s="23">
        <f t="shared" si="300"/>
        <v>2.3148148148148096</v>
      </c>
      <c r="GK69" s="23">
        <f t="shared" si="300"/>
        <v>-3.494947304753694</v>
      </c>
      <c r="GL69" s="23">
        <f t="shared" si="57"/>
        <v>-1.2610340479192956</v>
      </c>
      <c r="GM69" s="23">
        <f t="shared" si="57"/>
        <v>0.8526603001364208</v>
      </c>
      <c r="GN69" s="23"/>
      <c r="GO69" s="22">
        <v>40.2</v>
      </c>
      <c r="GP69" s="10">
        <f>GQ69/GO69</f>
        <v>349.7512437810945</v>
      </c>
      <c r="GQ69" s="20">
        <v>14060</v>
      </c>
      <c r="GR69" s="20">
        <v>13460</v>
      </c>
      <c r="GS69" s="23">
        <f t="shared" si="301"/>
        <v>-9.049773755656105</v>
      </c>
      <c r="GT69" s="23">
        <f t="shared" si="301"/>
        <v>-1.283493134582514</v>
      </c>
      <c r="GU69" s="23">
        <f t="shared" si="59"/>
        <v>-10.217113665389533</v>
      </c>
      <c r="GV69" s="23">
        <f t="shared" si="60"/>
        <v>-8.961785593506931</v>
      </c>
      <c r="GW69" s="23"/>
      <c r="GX69" s="22">
        <v>16.4</v>
      </c>
      <c r="GY69" s="10">
        <f>GZ69/GX69</f>
        <v>373.1707317073171</v>
      </c>
      <c r="GZ69" s="20">
        <v>6120</v>
      </c>
      <c r="HA69" s="20">
        <v>5970</v>
      </c>
      <c r="HB69" s="23">
        <f t="shared" si="302"/>
        <v>-59.203980099502495</v>
      </c>
      <c r="HC69" s="23">
        <f>GY69*100/GP69-100</f>
        <v>6.696041355861652</v>
      </c>
      <c r="HD69" s="23">
        <f t="shared" si="62"/>
        <v>-56.47226173541963</v>
      </c>
      <c r="HE69" s="23">
        <f t="shared" si="63"/>
        <v>-55.64635958395245</v>
      </c>
      <c r="HF69" s="23"/>
      <c r="HG69" s="22">
        <v>15.6</v>
      </c>
      <c r="HH69" s="10">
        <f>HI69/HG69</f>
        <v>460.2564102564103</v>
      </c>
      <c r="HI69" s="20">
        <v>7180</v>
      </c>
      <c r="HJ69" s="20">
        <v>7180</v>
      </c>
      <c r="HK69" s="23">
        <f t="shared" si="304"/>
        <v>-4.878048780487802</v>
      </c>
      <c r="HL69" s="23">
        <f>HH69*100/GY69-100</f>
        <v>23.336685101390998</v>
      </c>
      <c r="HM69" s="23">
        <f t="shared" si="105"/>
        <v>17.3202614379085</v>
      </c>
      <c r="HN69" s="23">
        <f t="shared" si="106"/>
        <v>20.268006700167504</v>
      </c>
      <c r="HO69" s="23"/>
      <c r="HP69" s="22">
        <v>17.2</v>
      </c>
      <c r="HQ69" s="10">
        <f>HR69/HP69</f>
        <v>640.6976744186047</v>
      </c>
      <c r="HR69" s="20">
        <v>11020</v>
      </c>
      <c r="HS69" s="20">
        <v>11020</v>
      </c>
      <c r="HT69" s="23">
        <f t="shared" si="306"/>
        <v>10.256410256410263</v>
      </c>
      <c r="HU69" s="23">
        <f>HQ69*100/HH69-100</f>
        <v>39.20450864805338</v>
      </c>
      <c r="HV69" s="23">
        <f t="shared" si="64"/>
        <v>53.481894150417816</v>
      </c>
      <c r="HW69" s="23">
        <f t="shared" si="65"/>
        <v>53.481894150417816</v>
      </c>
      <c r="HX69" s="23"/>
      <c r="HY69" s="22"/>
      <c r="HZ69" s="10" t="e">
        <f>IA69/HY69</f>
        <v>#DIV/0!</v>
      </c>
      <c r="IA69" s="20"/>
      <c r="IB69" s="20"/>
      <c r="IC69" s="23">
        <f t="shared" si="308"/>
        <v>-100</v>
      </c>
      <c r="ID69" s="23" t="e">
        <f>HZ69*100/HQ69-100</f>
        <v>#DIV/0!</v>
      </c>
      <c r="IE69" s="23">
        <f t="shared" si="309"/>
        <v>-100</v>
      </c>
      <c r="IF69" s="23">
        <f t="shared" si="310"/>
        <v>-100</v>
      </c>
      <c r="IG69" s="23"/>
      <c r="IH69" s="1" t="s">
        <v>66</v>
      </c>
      <c r="II69" s="29">
        <f t="shared" si="223"/>
        <v>44.67999999999999</v>
      </c>
      <c r="IJ69" s="30">
        <f t="shared" si="224"/>
        <v>362.0722177613324</v>
      </c>
      <c r="IK69" s="29">
        <f t="shared" si="225"/>
        <v>14282.5</v>
      </c>
      <c r="IL69" s="25">
        <f t="shared" si="226"/>
        <v>-61.50402864816472</v>
      </c>
      <c r="IM69" s="25">
        <f t="shared" si="227"/>
        <v>76.95300633116628</v>
      </c>
      <c r="IN69" s="25">
        <f t="shared" si="228"/>
        <v>-22.84263959390863</v>
      </c>
      <c r="IP69" s="30">
        <f>HP69*100/Italia!BR69</f>
        <v>6.343820307601519</v>
      </c>
      <c r="IQ69" s="30">
        <f>HR69*100/Italia!BT69</f>
        <v>13.218659661496755</v>
      </c>
      <c r="IR69" s="30">
        <f>HS69*100/Italia!BU69</f>
        <v>13.490188397458654</v>
      </c>
    </row>
    <row r="70" spans="1:252" ht="12">
      <c r="A70" s="1" t="s">
        <v>67</v>
      </c>
      <c r="B70" s="19">
        <f>B69+B68</f>
        <v>248</v>
      </c>
      <c r="C70" s="6" t="s">
        <v>1</v>
      </c>
      <c r="D70" s="9">
        <f>D69+D68</f>
        <v>63480</v>
      </c>
      <c r="E70" s="9"/>
      <c r="F70" s="19">
        <f>F68+F69</f>
        <v>259.1</v>
      </c>
      <c r="G70" s="6" t="s">
        <v>1</v>
      </c>
      <c r="H70" s="9">
        <f>H69+H68</f>
        <v>66510</v>
      </c>
      <c r="I70" s="23">
        <f t="shared" si="214"/>
        <v>4.475806451612911</v>
      </c>
      <c r="J70" s="24" t="s">
        <v>1</v>
      </c>
      <c r="K70" s="23">
        <f t="shared" si="215"/>
        <v>4.773156899810971</v>
      </c>
      <c r="L70" s="8"/>
      <c r="M70" s="19">
        <f>M68+M69</f>
        <v>269.4</v>
      </c>
      <c r="N70" s="6" t="s">
        <v>1</v>
      </c>
      <c r="O70" s="9">
        <f>O69+O68</f>
        <v>70170</v>
      </c>
      <c r="P70" s="23">
        <f t="shared" si="216"/>
        <v>3.9752991123118306</v>
      </c>
      <c r="Q70" s="24" t="s">
        <v>1</v>
      </c>
      <c r="R70" s="23">
        <f t="shared" si="217"/>
        <v>5.502931889941365</v>
      </c>
      <c r="S70" s="8"/>
      <c r="T70" s="19">
        <f>T68+T69</f>
        <v>205.3</v>
      </c>
      <c r="U70" s="6" t="s">
        <v>1</v>
      </c>
      <c r="V70" s="9">
        <f>V69+V68</f>
        <v>54010</v>
      </c>
      <c r="W70" s="23">
        <f t="shared" si="311"/>
        <v>-23.793615441722338</v>
      </c>
      <c r="X70" s="24" t="s">
        <v>1</v>
      </c>
      <c r="Y70" s="23">
        <f t="shared" si="312"/>
        <v>-23.029784808322646</v>
      </c>
      <c r="Z70" s="8"/>
      <c r="AA70" s="19">
        <f>AA68+AA69</f>
        <v>221.5</v>
      </c>
      <c r="AB70" s="6" t="s">
        <v>1</v>
      </c>
      <c r="AC70" s="9">
        <f>AC69+AC68</f>
        <v>53530</v>
      </c>
      <c r="AD70" s="23">
        <f t="shared" si="313"/>
        <v>7.890891378470528</v>
      </c>
      <c r="AE70" s="24" t="s">
        <v>1</v>
      </c>
      <c r="AF70" s="23">
        <f t="shared" si="314"/>
        <v>-0.8887243103129094</v>
      </c>
      <c r="AG70" s="8"/>
      <c r="AH70" s="19">
        <f>AH68+AH69</f>
        <v>235.1</v>
      </c>
      <c r="AI70" s="6" t="s">
        <v>1</v>
      </c>
      <c r="AJ70" s="9">
        <f>AJ69+AJ68</f>
        <v>60005</v>
      </c>
      <c r="AK70" s="23">
        <f t="shared" si="315"/>
        <v>6.139954853273139</v>
      </c>
      <c r="AL70" s="24" t="s">
        <v>1</v>
      </c>
      <c r="AM70" s="23">
        <f t="shared" si="316"/>
        <v>12.096020922847003</v>
      </c>
      <c r="AN70" s="8"/>
      <c r="AO70" s="19">
        <f>AO68+AO69</f>
        <v>242.3</v>
      </c>
      <c r="AP70" s="6" t="s">
        <v>1</v>
      </c>
      <c r="AQ70" s="9">
        <f>AQ69+AQ68</f>
        <v>59921</v>
      </c>
      <c r="AR70" s="23">
        <f t="shared" si="317"/>
        <v>3.062526584432163</v>
      </c>
      <c r="AS70" s="24" t="s">
        <v>1</v>
      </c>
      <c r="AT70" s="23">
        <f t="shared" si="318"/>
        <v>-0.13998833430547108</v>
      </c>
      <c r="AU70" s="8"/>
      <c r="AV70" s="19">
        <f>AV68+AV69</f>
        <v>288.9</v>
      </c>
      <c r="AW70" s="6" t="s">
        <v>1</v>
      </c>
      <c r="AX70" s="9">
        <f>AX69+AX68</f>
        <v>73724</v>
      </c>
      <c r="AY70" s="23">
        <f t="shared" si="319"/>
        <v>19.232356582748636</v>
      </c>
      <c r="AZ70" s="24" t="s">
        <v>1</v>
      </c>
      <c r="BA70" s="23">
        <f t="shared" si="320"/>
        <v>23.03532985097044</v>
      </c>
      <c r="BB70" s="8"/>
      <c r="BC70" s="19">
        <f>BC68+BC69</f>
        <v>275.9</v>
      </c>
      <c r="BD70" s="6" t="s">
        <v>1</v>
      </c>
      <c r="BE70" s="9">
        <f>BE69+BE68</f>
        <v>71830</v>
      </c>
      <c r="BF70" s="23">
        <f t="shared" si="321"/>
        <v>-4.499826929733473</v>
      </c>
      <c r="BG70" s="24" t="s">
        <v>1</v>
      </c>
      <c r="BH70" s="23">
        <f t="shared" si="322"/>
        <v>-2.569041289132443</v>
      </c>
      <c r="BI70" s="8"/>
      <c r="BJ70" s="19">
        <f>BJ68+BJ69</f>
        <v>279.9</v>
      </c>
      <c r="BK70" s="6" t="s">
        <v>1</v>
      </c>
      <c r="BL70" s="9">
        <f>BL69+BL68</f>
        <v>84788</v>
      </c>
      <c r="BM70" s="23">
        <f t="shared" si="218"/>
        <v>1.449800652410289</v>
      </c>
      <c r="BN70" s="24" t="s">
        <v>1</v>
      </c>
      <c r="BO70" s="23">
        <f t="shared" si="323"/>
        <v>18.039816232771827</v>
      </c>
      <c r="BP70" s="8"/>
      <c r="BQ70" s="19">
        <f>BQ68+BQ69</f>
        <v>278.6</v>
      </c>
      <c r="BR70" s="6" t="s">
        <v>1</v>
      </c>
      <c r="BS70" s="9">
        <f>BS69+BS68</f>
        <v>80528</v>
      </c>
      <c r="BT70" s="23">
        <f t="shared" si="219"/>
        <v>-0.4644515898534962</v>
      </c>
      <c r="BU70" s="24" t="s">
        <v>1</v>
      </c>
      <c r="BV70" s="23">
        <f t="shared" si="324"/>
        <v>-5.024295890927959</v>
      </c>
      <c r="BW70" s="8"/>
      <c r="BX70" s="19">
        <f>BX68+BX69</f>
        <v>305.2</v>
      </c>
      <c r="BY70" s="6" t="s">
        <v>1</v>
      </c>
      <c r="BZ70" s="9">
        <f>BZ69+BZ68</f>
        <v>95391</v>
      </c>
      <c r="CA70" s="23">
        <f t="shared" si="325"/>
        <v>9.547738693467323</v>
      </c>
      <c r="CB70" s="24" t="s">
        <v>1</v>
      </c>
      <c r="CC70" s="23">
        <f t="shared" si="326"/>
        <v>18.45693423405524</v>
      </c>
      <c r="CD70" s="8"/>
      <c r="CE70" s="19">
        <f>CE68+CE69</f>
        <v>295.9</v>
      </c>
      <c r="CF70" s="6" t="s">
        <v>1</v>
      </c>
      <c r="CG70" s="9">
        <f>CG69+CG68</f>
        <v>87643</v>
      </c>
      <c r="CH70" s="23">
        <f t="shared" si="327"/>
        <v>-3.0471821756225523</v>
      </c>
      <c r="CI70" s="24" t="s">
        <v>1</v>
      </c>
      <c r="CJ70" s="23">
        <f t="shared" si="328"/>
        <v>-8.122359551739677</v>
      </c>
      <c r="CK70" s="8"/>
      <c r="CL70" s="19">
        <f>CL68+CL69</f>
        <v>320</v>
      </c>
      <c r="CM70" s="6" t="s">
        <v>1</v>
      </c>
      <c r="CN70" s="9">
        <f>CN69+CN68</f>
        <v>92578</v>
      </c>
      <c r="CO70" s="23">
        <f t="shared" si="329"/>
        <v>8.1446434606286</v>
      </c>
      <c r="CP70" s="24" t="s">
        <v>1</v>
      </c>
      <c r="CQ70" s="23">
        <f t="shared" si="330"/>
        <v>5.630797667811464</v>
      </c>
      <c r="CR70" s="8"/>
      <c r="CS70" s="19">
        <f>CS68+CS69</f>
        <v>371</v>
      </c>
      <c r="CT70" s="6" t="s">
        <v>1</v>
      </c>
      <c r="CU70" s="9">
        <f>CU69+CU68</f>
        <v>98374</v>
      </c>
      <c r="CV70" s="23">
        <f t="shared" si="331"/>
        <v>15.9375</v>
      </c>
      <c r="CW70" s="24" t="s">
        <v>1</v>
      </c>
      <c r="CX70" s="23">
        <f t="shared" si="332"/>
        <v>6.26066668106894</v>
      </c>
      <c r="CY70" s="8"/>
      <c r="CZ70" s="19">
        <f>CZ68+CZ69</f>
        <v>390.5</v>
      </c>
      <c r="DA70" s="6" t="s">
        <v>1</v>
      </c>
      <c r="DB70" s="9">
        <f>DB69+DB68</f>
        <v>110631</v>
      </c>
      <c r="DC70" s="23">
        <f t="shared" si="333"/>
        <v>5.25606469002696</v>
      </c>
      <c r="DD70" s="24" t="s">
        <v>1</v>
      </c>
      <c r="DE70" s="23">
        <f t="shared" si="334"/>
        <v>12.459592981885464</v>
      </c>
      <c r="DF70" s="8"/>
      <c r="DG70" s="19">
        <f>DG68+DG69</f>
        <v>391.5</v>
      </c>
      <c r="DH70" s="6" t="s">
        <v>1</v>
      </c>
      <c r="DI70" s="9">
        <f>DI69+DI68</f>
        <v>109860</v>
      </c>
      <c r="DJ70" s="23">
        <f t="shared" si="335"/>
        <v>0.25608194622279257</v>
      </c>
      <c r="DK70" s="24" t="s">
        <v>1</v>
      </c>
      <c r="DL70" s="23">
        <f t="shared" si="336"/>
        <v>-0.6969113539604592</v>
      </c>
      <c r="DM70" s="8"/>
      <c r="DN70" s="19">
        <f>DN68+DN69</f>
        <v>431.05</v>
      </c>
      <c r="DO70" s="6" t="s">
        <v>1</v>
      </c>
      <c r="DP70" s="9">
        <f>DP69+DP68</f>
        <v>127860</v>
      </c>
      <c r="DQ70" s="23">
        <f t="shared" si="337"/>
        <v>10.102171136653894</v>
      </c>
      <c r="DR70" s="24" t="s">
        <v>1</v>
      </c>
      <c r="DS70" s="23">
        <f t="shared" si="338"/>
        <v>16.38448935008192</v>
      </c>
      <c r="DT70" s="8"/>
      <c r="DU70" s="19">
        <f>DU68+DU69</f>
        <v>331.85</v>
      </c>
      <c r="DV70" s="6" t="s">
        <v>1</v>
      </c>
      <c r="DW70" s="9">
        <f>DW69+DW68</f>
        <v>103220</v>
      </c>
      <c r="DX70" s="23">
        <f t="shared" si="339"/>
        <v>-23.013571511425596</v>
      </c>
      <c r="DY70" s="24" t="s">
        <v>1</v>
      </c>
      <c r="DZ70" s="23">
        <f t="shared" si="340"/>
        <v>-19.271077741279527</v>
      </c>
      <c r="EA70" s="8"/>
      <c r="EB70" s="19">
        <f>EB68+EB69</f>
        <v>398.65</v>
      </c>
      <c r="EC70" s="6" t="s">
        <v>1</v>
      </c>
      <c r="ED70" s="9">
        <f>ED69+ED68</f>
        <v>128064</v>
      </c>
      <c r="EE70" s="23">
        <f t="shared" si="341"/>
        <v>20.129576615940934</v>
      </c>
      <c r="EF70" s="24" t="s">
        <v>1</v>
      </c>
      <c r="EG70" s="23">
        <f t="shared" si="342"/>
        <v>24.068978880062005</v>
      </c>
      <c r="EH70" s="8"/>
      <c r="EI70" s="19">
        <f>EI68+EI69</f>
        <v>395</v>
      </c>
      <c r="EJ70" s="6" t="s">
        <v>1</v>
      </c>
      <c r="EK70" s="9">
        <f>EK69+EK68</f>
        <v>125130</v>
      </c>
      <c r="EL70" s="23">
        <f t="shared" si="343"/>
        <v>-0.9155901166436706</v>
      </c>
      <c r="EM70" s="24" t="s">
        <v>1</v>
      </c>
      <c r="EN70" s="23">
        <f t="shared" si="344"/>
        <v>-2.291041979010501</v>
      </c>
      <c r="EO70" s="8"/>
      <c r="EP70" s="19">
        <f>EP68+EP69</f>
        <v>372</v>
      </c>
      <c r="EQ70" s="6" t="s">
        <v>1</v>
      </c>
      <c r="ER70" s="9">
        <f>ER69+ER68</f>
        <v>123405</v>
      </c>
      <c r="ES70" s="23">
        <f t="shared" si="345"/>
        <v>-5.822784810126578</v>
      </c>
      <c r="ET70" s="24" t="s">
        <v>1</v>
      </c>
      <c r="EU70" s="23">
        <f t="shared" si="346"/>
        <v>-1.3785662910572967</v>
      </c>
      <c r="EV70" s="8"/>
      <c r="EW70" s="19">
        <f>EW68+EW69</f>
        <v>340.2</v>
      </c>
      <c r="EX70" s="10">
        <f t="shared" si="265"/>
        <v>354.97354497354496</v>
      </c>
      <c r="EY70" s="9">
        <f>EY69+EY68</f>
        <v>120762</v>
      </c>
      <c r="EZ70" s="9">
        <f>EZ69+EZ68</f>
        <v>114759</v>
      </c>
      <c r="FA70" s="23">
        <f t="shared" si="198"/>
        <v>-8.548387096774192</v>
      </c>
      <c r="FB70" s="24" t="s">
        <v>1</v>
      </c>
      <c r="FC70" s="23">
        <f t="shared" si="199"/>
        <v>-7.0061991005226645</v>
      </c>
      <c r="FD70" s="8"/>
      <c r="FE70" s="19">
        <f>FE68+FE69</f>
        <v>322</v>
      </c>
      <c r="FF70" s="10">
        <f t="shared" si="229"/>
        <v>359.16149068322983</v>
      </c>
      <c r="FG70" s="9">
        <f>FG69+FG68</f>
        <v>115650</v>
      </c>
      <c r="FH70" s="9">
        <f>FH69+FH68</f>
        <v>110016</v>
      </c>
      <c r="FI70" s="23">
        <f t="shared" si="266"/>
        <v>-5.349794238683131</v>
      </c>
      <c r="FJ70" s="23">
        <f t="shared" si="271"/>
        <v>1.179790936250484</v>
      </c>
      <c r="FK70" s="23">
        <f t="shared" si="271"/>
        <v>-4.233119689968703</v>
      </c>
      <c r="FL70" s="23">
        <f t="shared" si="267"/>
        <v>-4.133009175750928</v>
      </c>
      <c r="FM70" s="23"/>
      <c r="FN70" s="19">
        <f>FN68+FN69</f>
        <v>308</v>
      </c>
      <c r="FO70" s="6" t="s">
        <v>1</v>
      </c>
      <c r="FP70" s="9">
        <f>FP69+FP68</f>
        <v>110630</v>
      </c>
      <c r="FQ70" s="9">
        <f>FQ69+FQ68</f>
        <v>105333</v>
      </c>
      <c r="FR70" s="24" t="s">
        <v>1</v>
      </c>
      <c r="FS70" s="24" t="s">
        <v>1</v>
      </c>
      <c r="FT70" s="23">
        <f t="shared" si="53"/>
        <v>-4.340683095546908</v>
      </c>
      <c r="FU70" s="23">
        <f t="shared" si="53"/>
        <v>-4.2566535776614245</v>
      </c>
      <c r="FV70" s="23"/>
      <c r="FW70" s="36">
        <f>FW68+FW69</f>
        <v>278.2</v>
      </c>
      <c r="FX70" s="6" t="s">
        <v>1</v>
      </c>
      <c r="FY70" s="19">
        <f>FY68+FY69</f>
        <v>98870</v>
      </c>
      <c r="FZ70" s="19">
        <f>FZ68+FZ69</f>
        <v>93400</v>
      </c>
      <c r="GA70" s="24" t="s">
        <v>1</v>
      </c>
      <c r="GB70" s="24" t="s">
        <v>1</v>
      </c>
      <c r="GC70" s="24" t="s">
        <v>1</v>
      </c>
      <c r="GD70" s="24" t="s">
        <v>1</v>
      </c>
      <c r="GE70" s="23"/>
      <c r="GF70" s="19">
        <f>GF68+GF69</f>
        <v>263.2</v>
      </c>
      <c r="GG70" s="6" t="s">
        <v>1</v>
      </c>
      <c r="GH70" s="19">
        <f>GH68+GH69</f>
        <v>91680</v>
      </c>
      <c r="GI70" s="19">
        <f>GI68+GI69</f>
        <v>87605</v>
      </c>
      <c r="GJ70" s="23">
        <f t="shared" si="300"/>
        <v>-5.391804457225021</v>
      </c>
      <c r="GK70" s="24" t="s">
        <v>1</v>
      </c>
      <c r="GL70" s="23">
        <f t="shared" si="57"/>
        <v>-7.272175584100339</v>
      </c>
      <c r="GM70" s="23">
        <f t="shared" si="57"/>
        <v>-6.204496788008569</v>
      </c>
      <c r="GN70" s="23"/>
      <c r="GO70" s="19">
        <f>GO68+GO69</f>
        <v>205.2</v>
      </c>
      <c r="GP70" s="6" t="s">
        <v>1</v>
      </c>
      <c r="GQ70" s="19">
        <f>GQ68+GQ69</f>
        <v>78680</v>
      </c>
      <c r="GR70" s="19">
        <f>GR68+GR69</f>
        <v>75680</v>
      </c>
      <c r="GS70" s="23">
        <f t="shared" si="301"/>
        <v>-22.036474164133736</v>
      </c>
      <c r="GT70" s="24" t="s">
        <v>1</v>
      </c>
      <c r="GU70" s="23">
        <f t="shared" si="59"/>
        <v>-14.17975567190227</v>
      </c>
      <c r="GV70" s="23">
        <f t="shared" si="60"/>
        <v>-13.612236744478054</v>
      </c>
      <c r="GW70" s="23"/>
      <c r="GX70" s="19">
        <f>GX68+GX69</f>
        <v>207.4</v>
      </c>
      <c r="GY70" s="6" t="s">
        <v>1</v>
      </c>
      <c r="GZ70" s="19">
        <f>GZ68+GZ69</f>
        <v>83205</v>
      </c>
      <c r="HA70" s="19">
        <f>HA68+HA69</f>
        <v>83055</v>
      </c>
      <c r="HB70" s="23">
        <f t="shared" si="302"/>
        <v>1.0721247563352847</v>
      </c>
      <c r="HC70" s="24" t="s">
        <v>1</v>
      </c>
      <c r="HD70" s="23">
        <f t="shared" si="62"/>
        <v>5.751143873919673</v>
      </c>
      <c r="HE70" s="23">
        <f t="shared" si="63"/>
        <v>9.744978858350947</v>
      </c>
      <c r="HF70" s="23"/>
      <c r="HG70" s="19">
        <f>HG68+HG69</f>
        <v>211.6</v>
      </c>
      <c r="HH70" s="6" t="s">
        <v>1</v>
      </c>
      <c r="HI70" s="19">
        <f>HI68+HI69</f>
        <v>92890</v>
      </c>
      <c r="HJ70" s="19">
        <f>HJ68+HJ69</f>
        <v>92890</v>
      </c>
      <c r="HK70" s="23">
        <f t="shared" si="304"/>
        <v>2.0250723240115747</v>
      </c>
      <c r="HL70" s="24" t="s">
        <v>1</v>
      </c>
      <c r="HM70" s="23">
        <f t="shared" si="105"/>
        <v>11.639925485247275</v>
      </c>
      <c r="HN70" s="23">
        <f t="shared" si="106"/>
        <v>11.841550779603878</v>
      </c>
      <c r="HO70" s="23"/>
      <c r="HP70" s="19">
        <f>HP68+HP69</f>
        <v>206.2</v>
      </c>
      <c r="HQ70" s="6" t="s">
        <v>1</v>
      </c>
      <c r="HR70" s="20">
        <f>HR68+HR69</f>
        <v>94270</v>
      </c>
      <c r="HS70" s="20">
        <f>HS68+HS69</f>
        <v>94270</v>
      </c>
      <c r="HT70" s="23">
        <f t="shared" si="306"/>
        <v>-2.5519848771266567</v>
      </c>
      <c r="HU70" s="24" t="s">
        <v>1</v>
      </c>
      <c r="HV70" s="23">
        <f t="shared" si="64"/>
        <v>1.4856281623425502</v>
      </c>
      <c r="HW70" s="23">
        <f t="shared" si="65"/>
        <v>1.4856281623425502</v>
      </c>
      <c r="HX70" s="23"/>
      <c r="HY70" s="19">
        <f>HY68+HY69</f>
        <v>160</v>
      </c>
      <c r="HZ70" s="6" t="s">
        <v>1</v>
      </c>
      <c r="IA70" s="20">
        <f>IA68+IA69</f>
        <v>69150</v>
      </c>
      <c r="IB70" s="20">
        <f>IB68+IB69</f>
        <v>69150</v>
      </c>
      <c r="IC70" s="23">
        <f t="shared" si="308"/>
        <v>-22.40543161978661</v>
      </c>
      <c r="ID70" s="24" t="s">
        <v>1</v>
      </c>
      <c r="IE70" s="23">
        <f t="shared" si="309"/>
        <v>-26.64686538665535</v>
      </c>
      <c r="IF70" s="23">
        <f t="shared" si="310"/>
        <v>-26.64686538665535</v>
      </c>
      <c r="IG70" s="23"/>
      <c r="IH70" s="1" t="s">
        <v>67</v>
      </c>
      <c r="II70" s="29">
        <f t="shared" si="223"/>
        <v>290.28</v>
      </c>
      <c r="IJ70" s="30">
        <f t="shared" si="224"/>
        <v>357.0675178283874</v>
      </c>
      <c r="IK70" s="29">
        <f t="shared" si="225"/>
        <v>101127.3</v>
      </c>
      <c r="IL70" s="25">
        <f t="shared" si="226"/>
        <v>-28.965137108998206</v>
      </c>
      <c r="IM70" s="25">
        <f t="shared" si="227"/>
        <v>-100</v>
      </c>
      <c r="IN70" s="25">
        <f t="shared" si="228"/>
        <v>-6.780859372296106</v>
      </c>
      <c r="IP70" s="30">
        <f>HP70*100/Italia!BR70</f>
        <v>2.1771425373741042</v>
      </c>
      <c r="IQ70" s="30">
        <f>HR70*100/Italia!BT70</f>
        <v>4.151391246716472</v>
      </c>
      <c r="IR70" s="30">
        <f>HS70*100/Italia!BU70</f>
        <v>4.263995943617734</v>
      </c>
    </row>
    <row r="71" spans="1:252" ht="12">
      <c r="A71" s="1" t="s">
        <v>68</v>
      </c>
      <c r="B71" s="20">
        <v>613</v>
      </c>
      <c r="C71" s="10">
        <v>242.1</v>
      </c>
      <c r="D71" s="11">
        <v>145100</v>
      </c>
      <c r="E71" s="9"/>
      <c r="F71" s="20">
        <v>649</v>
      </c>
      <c r="G71" s="10">
        <v>245.7</v>
      </c>
      <c r="H71" s="11">
        <v>154800</v>
      </c>
      <c r="I71" s="23">
        <f t="shared" si="214"/>
        <v>5.872756933115824</v>
      </c>
      <c r="J71" s="23">
        <f>G71*100/C71-100</f>
        <v>1.4869888475836461</v>
      </c>
      <c r="K71" s="23">
        <f t="shared" si="215"/>
        <v>6.68504479669194</v>
      </c>
      <c r="L71" s="8"/>
      <c r="M71" s="20">
        <v>876</v>
      </c>
      <c r="N71" s="10">
        <f>184951/M71</f>
        <v>211.13127853881278</v>
      </c>
      <c r="O71" s="11">
        <v>183000</v>
      </c>
      <c r="P71" s="23">
        <f t="shared" si="216"/>
        <v>34.9768875192604</v>
      </c>
      <c r="Q71" s="23">
        <f>N71*100/G71-100</f>
        <v>-14.069483704186908</v>
      </c>
      <c r="R71" s="23">
        <f t="shared" si="217"/>
        <v>18.217054263565885</v>
      </c>
      <c r="S71" s="8"/>
      <c r="T71" s="20">
        <v>920</v>
      </c>
      <c r="U71" s="10">
        <v>247.1</v>
      </c>
      <c r="V71" s="11">
        <v>226100</v>
      </c>
      <c r="W71" s="23">
        <f t="shared" si="311"/>
        <v>5.022831050228305</v>
      </c>
      <c r="X71" s="23">
        <f>U71*100/N71-100</f>
        <v>17.03618796329839</v>
      </c>
      <c r="Y71" s="23">
        <f t="shared" si="312"/>
        <v>23.551912568306008</v>
      </c>
      <c r="Z71" s="8"/>
      <c r="AA71" s="20">
        <v>913</v>
      </c>
      <c r="AB71" s="10">
        <v>233.8</v>
      </c>
      <c r="AC71" s="11">
        <v>202300</v>
      </c>
      <c r="AD71" s="23">
        <f t="shared" si="313"/>
        <v>-0.7608695652173907</v>
      </c>
      <c r="AE71" s="23">
        <f>AB71*100/U71-100</f>
        <v>-5.382436260623223</v>
      </c>
      <c r="AF71" s="23">
        <f t="shared" si="314"/>
        <v>-10.526315789473685</v>
      </c>
      <c r="AG71" s="8"/>
      <c r="AH71" s="20">
        <v>949</v>
      </c>
      <c r="AI71" s="10">
        <v>248.8</v>
      </c>
      <c r="AJ71" s="11">
        <v>228900</v>
      </c>
      <c r="AK71" s="23">
        <f t="shared" si="315"/>
        <v>3.943044906900326</v>
      </c>
      <c r="AL71" s="23">
        <f>AI71*100/AB71-100</f>
        <v>6.415739948674073</v>
      </c>
      <c r="AM71" s="23">
        <f t="shared" si="316"/>
        <v>13.148788927335644</v>
      </c>
      <c r="AN71" s="8"/>
      <c r="AO71" s="20">
        <v>990</v>
      </c>
      <c r="AP71" s="10">
        <v>247.7</v>
      </c>
      <c r="AQ71" s="11">
        <v>236200</v>
      </c>
      <c r="AR71" s="23">
        <f t="shared" si="317"/>
        <v>4.3203371970495255</v>
      </c>
      <c r="AS71" s="23">
        <f>AP71*100/AI71-100</f>
        <v>-0.4421221864951832</v>
      </c>
      <c r="AT71" s="23">
        <f t="shared" si="318"/>
        <v>3.1891655744866796</v>
      </c>
      <c r="AU71" s="8"/>
      <c r="AV71" s="20">
        <v>1066</v>
      </c>
      <c r="AW71" s="10">
        <v>240.4</v>
      </c>
      <c r="AX71" s="11">
        <v>233235</v>
      </c>
      <c r="AY71" s="23">
        <f t="shared" si="319"/>
        <v>7.676767676767682</v>
      </c>
      <c r="AZ71" s="23">
        <f>AW71*100/AP71-100</f>
        <v>-2.9471134436818716</v>
      </c>
      <c r="BA71" s="23">
        <f t="shared" si="320"/>
        <v>-1.2552921253175242</v>
      </c>
      <c r="BB71" s="8"/>
      <c r="BC71" s="20">
        <v>1116</v>
      </c>
      <c r="BD71" s="10">
        <v>223.1</v>
      </c>
      <c r="BE71" s="11">
        <v>235939</v>
      </c>
      <c r="BF71" s="23">
        <f t="shared" si="321"/>
        <v>4.690431519699814</v>
      </c>
      <c r="BG71" s="23">
        <f>BD71*100/AW71-100</f>
        <v>-7.1963394342762115</v>
      </c>
      <c r="BH71" s="23">
        <f t="shared" si="322"/>
        <v>1.1593457242695138</v>
      </c>
      <c r="BI71" s="8"/>
      <c r="BJ71" s="20">
        <v>1137</v>
      </c>
      <c r="BK71" s="10">
        <v>269.64</v>
      </c>
      <c r="BL71" s="11">
        <v>286242</v>
      </c>
      <c r="BM71" s="23">
        <f t="shared" si="218"/>
        <v>1.8817204301075208</v>
      </c>
      <c r="BN71" s="23">
        <f>BK71*100/BD71-100</f>
        <v>20.860600627521293</v>
      </c>
      <c r="BO71" s="23">
        <f t="shared" si="323"/>
        <v>21.320341274651497</v>
      </c>
      <c r="BP71" s="8"/>
      <c r="BQ71" s="20">
        <v>1124</v>
      </c>
      <c r="BR71" s="10">
        <v>258.4</v>
      </c>
      <c r="BS71" s="11">
        <v>254110</v>
      </c>
      <c r="BT71" s="23">
        <f t="shared" si="219"/>
        <v>-1.1433597185576048</v>
      </c>
      <c r="BU71" s="23">
        <f>BR71*100/BK71-100</f>
        <v>-4.16852099095091</v>
      </c>
      <c r="BV71" s="23">
        <f t="shared" si="324"/>
        <v>-11.225466563257669</v>
      </c>
      <c r="BW71" s="8"/>
      <c r="BX71" s="20">
        <v>1404</v>
      </c>
      <c r="BY71" s="10">
        <v>272.5</v>
      </c>
      <c r="BZ71" s="11">
        <v>363465</v>
      </c>
      <c r="CA71" s="23">
        <f t="shared" si="325"/>
        <v>24.911032028469748</v>
      </c>
      <c r="CB71" s="23">
        <f>BY71*100/BR71-100</f>
        <v>5.4566563467492415</v>
      </c>
      <c r="CC71" s="23">
        <f t="shared" si="326"/>
        <v>43.03451261264806</v>
      </c>
      <c r="CD71" s="8"/>
      <c r="CE71" s="20">
        <v>1218</v>
      </c>
      <c r="CF71" s="10">
        <v>271.8</v>
      </c>
      <c r="CG71" s="11">
        <v>309012</v>
      </c>
      <c r="CH71" s="23">
        <f t="shared" si="327"/>
        <v>-13.24786324786325</v>
      </c>
      <c r="CI71" s="23">
        <f>CF71*100/BY71-100</f>
        <v>-0.2568807339449535</v>
      </c>
      <c r="CJ71" s="23">
        <f t="shared" si="328"/>
        <v>-14.981635095538778</v>
      </c>
      <c r="CK71" s="8"/>
      <c r="CL71" s="20">
        <v>1242</v>
      </c>
      <c r="CM71" s="10">
        <v>281.4</v>
      </c>
      <c r="CN71" s="11">
        <v>335455</v>
      </c>
      <c r="CO71" s="23">
        <f t="shared" si="329"/>
        <v>1.970443349753694</v>
      </c>
      <c r="CP71" s="23">
        <f>CM71*100/CF71-100</f>
        <v>3.5320088300220505</v>
      </c>
      <c r="CQ71" s="23">
        <f t="shared" si="330"/>
        <v>8.557272856717532</v>
      </c>
      <c r="CR71" s="8"/>
      <c r="CS71" s="20">
        <v>1656</v>
      </c>
      <c r="CT71" s="10">
        <v>254.9</v>
      </c>
      <c r="CU71" s="11">
        <v>408089</v>
      </c>
      <c r="CV71" s="23">
        <f t="shared" si="331"/>
        <v>33.33333333333334</v>
      </c>
      <c r="CW71" s="23">
        <f>CT71*100/CM71-100</f>
        <v>-9.41719971570717</v>
      </c>
      <c r="CX71" s="23">
        <f t="shared" si="332"/>
        <v>21.652382584847444</v>
      </c>
      <c r="CY71" s="8"/>
      <c r="CZ71" s="20">
        <v>1647</v>
      </c>
      <c r="DA71" s="10">
        <v>255.9</v>
      </c>
      <c r="DB71" s="11">
        <v>404688</v>
      </c>
      <c r="DC71" s="23">
        <f t="shared" si="333"/>
        <v>-0.5434782608695627</v>
      </c>
      <c r="DD71" s="23">
        <f>DA71*100/CT71-100</f>
        <v>0.39231071008238416</v>
      </c>
      <c r="DE71" s="23">
        <f t="shared" si="334"/>
        <v>-0.8333966365180174</v>
      </c>
      <c r="DF71" s="8"/>
      <c r="DG71" s="20">
        <v>1577</v>
      </c>
      <c r="DH71" s="10">
        <v>250.28</v>
      </c>
      <c r="DI71" s="11">
        <v>382530</v>
      </c>
      <c r="DJ71" s="23">
        <f t="shared" si="335"/>
        <v>-4.250151791135394</v>
      </c>
      <c r="DK71" s="23">
        <f>DH71*100/DA71-100</f>
        <v>-2.1961703790543226</v>
      </c>
      <c r="DL71" s="23">
        <f t="shared" si="336"/>
        <v>-5.475329142450477</v>
      </c>
      <c r="DM71" s="8"/>
      <c r="DN71" s="20">
        <v>1528</v>
      </c>
      <c r="DO71" s="10">
        <v>264.9</v>
      </c>
      <c r="DP71" s="11">
        <v>395220</v>
      </c>
      <c r="DQ71" s="23">
        <f t="shared" si="337"/>
        <v>-3.1071655041217525</v>
      </c>
      <c r="DR71" s="23">
        <f>DO71*100/DH71-100</f>
        <v>5.841457567524358</v>
      </c>
      <c r="DS71" s="23">
        <f t="shared" si="338"/>
        <v>3.317386871617913</v>
      </c>
      <c r="DT71" s="8"/>
      <c r="DU71" s="20">
        <v>1424</v>
      </c>
      <c r="DV71" s="10">
        <v>289.4</v>
      </c>
      <c r="DW71" s="11">
        <v>402530</v>
      </c>
      <c r="DX71" s="23">
        <f t="shared" si="339"/>
        <v>-6.806282722513089</v>
      </c>
      <c r="DY71" s="23">
        <f>DV71*100/DO71-100</f>
        <v>9.2487731219328</v>
      </c>
      <c r="DZ71" s="23">
        <f t="shared" si="340"/>
        <v>1.8496027528971268</v>
      </c>
      <c r="EA71" s="8"/>
      <c r="EB71" s="20">
        <v>1530</v>
      </c>
      <c r="EC71" s="10">
        <v>317.8</v>
      </c>
      <c r="ED71" s="11">
        <v>477480</v>
      </c>
      <c r="EE71" s="23">
        <f t="shared" si="341"/>
        <v>7.443820224719104</v>
      </c>
      <c r="EF71" s="23">
        <f>EC71*100/DV71-100</f>
        <v>9.813407049067038</v>
      </c>
      <c r="EG71" s="23">
        <f t="shared" si="342"/>
        <v>18.619730206444245</v>
      </c>
      <c r="EH71" s="8"/>
      <c r="EI71" s="20">
        <v>1445</v>
      </c>
      <c r="EJ71" s="10">
        <v>315.8</v>
      </c>
      <c r="EK71" s="11">
        <v>445288</v>
      </c>
      <c r="EL71" s="23">
        <f t="shared" si="343"/>
        <v>-5.555555555555557</v>
      </c>
      <c r="EM71" s="23">
        <f>EJ71*100/EC71-100</f>
        <v>-0.6293266205160535</v>
      </c>
      <c r="EN71" s="23">
        <f t="shared" si="344"/>
        <v>-6.742062494764184</v>
      </c>
      <c r="EO71" s="8"/>
      <c r="EP71" s="20">
        <v>1406</v>
      </c>
      <c r="EQ71" s="10">
        <v>314.9</v>
      </c>
      <c r="ER71" s="11">
        <v>435200</v>
      </c>
      <c r="ES71" s="23">
        <f t="shared" si="345"/>
        <v>-2.6989619377162626</v>
      </c>
      <c r="ET71" s="23">
        <f>EQ71*100/EJ71-100</f>
        <v>-0.28499050031666684</v>
      </c>
      <c r="EU71" s="23">
        <f t="shared" si="346"/>
        <v>-2.26550008084655</v>
      </c>
      <c r="EV71" s="8"/>
      <c r="EW71" s="20">
        <v>1388</v>
      </c>
      <c r="EX71" s="10">
        <f t="shared" si="265"/>
        <v>317.31988472622476</v>
      </c>
      <c r="EY71" s="11">
        <v>440440</v>
      </c>
      <c r="EZ71" s="11">
        <v>431261</v>
      </c>
      <c r="FA71" s="23">
        <f t="shared" si="198"/>
        <v>-1.2802275960170704</v>
      </c>
      <c r="FB71" s="23">
        <f>EX71*100/EQ71-100</f>
        <v>0.7684613293822764</v>
      </c>
      <c r="FC71" s="23">
        <f t="shared" si="199"/>
        <v>-0.905101102941174</v>
      </c>
      <c r="FD71" s="8"/>
      <c r="FE71" s="20">
        <v>1354</v>
      </c>
      <c r="FF71" s="10">
        <f t="shared" si="229"/>
        <v>314.678729689808</v>
      </c>
      <c r="FG71" s="11">
        <v>426075</v>
      </c>
      <c r="FH71" s="11">
        <v>417236</v>
      </c>
      <c r="FI71" s="23">
        <f t="shared" si="266"/>
        <v>-2.4495677233429376</v>
      </c>
      <c r="FJ71" s="23">
        <f t="shared" si="271"/>
        <v>-0.8323320294583709</v>
      </c>
      <c r="FK71" s="23">
        <f t="shared" si="271"/>
        <v>-3.2615112160566753</v>
      </c>
      <c r="FL71" s="23">
        <f t="shared" si="267"/>
        <v>-3.252090961158089</v>
      </c>
      <c r="FM71" s="23"/>
      <c r="FN71" s="20">
        <v>1551</v>
      </c>
      <c r="FO71" s="10">
        <f t="shared" si="220"/>
        <v>349.5370728562218</v>
      </c>
      <c r="FP71" s="11">
        <v>542132</v>
      </c>
      <c r="FQ71" s="11">
        <v>529704</v>
      </c>
      <c r="FR71" s="23">
        <f>FN71*100/FE71-100</f>
        <v>14.549483013293937</v>
      </c>
      <c r="FS71" s="23">
        <f>FO71*100/FF71-100</f>
        <v>11.077438631068304</v>
      </c>
      <c r="FT71" s="23">
        <f t="shared" si="53"/>
        <v>27.238631696297603</v>
      </c>
      <c r="FU71" s="23">
        <f t="shared" si="53"/>
        <v>26.95548802116788</v>
      </c>
      <c r="FV71" s="23"/>
      <c r="FW71" s="20">
        <v>1534</v>
      </c>
      <c r="FX71" s="10">
        <f>FY71/FW71</f>
        <v>342.3076923076923</v>
      </c>
      <c r="FY71" s="20">
        <v>525100</v>
      </c>
      <c r="FZ71" s="20">
        <v>517300</v>
      </c>
      <c r="GA71" s="23">
        <f aca="true" t="shared" si="348" ref="GA71:GD72">FW71*100/FN71-100</f>
        <v>-1.0960670535138632</v>
      </c>
      <c r="GB71" s="23">
        <f t="shared" si="348"/>
        <v>-2.0682728986241727</v>
      </c>
      <c r="GC71" s="23">
        <f t="shared" si="348"/>
        <v>-3.141670294319468</v>
      </c>
      <c r="GD71" s="23">
        <f t="shared" si="348"/>
        <v>-2.341685167565288</v>
      </c>
      <c r="GE71" s="23"/>
      <c r="GF71" s="20">
        <v>1470</v>
      </c>
      <c r="GG71" s="10">
        <f>GH71/GF71</f>
        <v>335.8095238095238</v>
      </c>
      <c r="GH71" s="20">
        <v>493640</v>
      </c>
      <c r="GI71" s="20">
        <v>488840</v>
      </c>
      <c r="GJ71" s="23">
        <f t="shared" si="300"/>
        <v>-4.172099087353331</v>
      </c>
      <c r="GK71" s="23">
        <f t="shared" si="300"/>
        <v>-1.898341359015518</v>
      </c>
      <c r="GL71" s="23">
        <f t="shared" si="57"/>
        <v>-5.991239763854509</v>
      </c>
      <c r="GM71" s="23">
        <f t="shared" si="57"/>
        <v>-5.501643147109988</v>
      </c>
      <c r="GN71" s="23"/>
      <c r="GO71" s="20">
        <v>1487</v>
      </c>
      <c r="GP71" s="10">
        <f>GQ71/GO71</f>
        <v>342.1049092131809</v>
      </c>
      <c r="GQ71" s="20">
        <v>508710</v>
      </c>
      <c r="GR71" s="20">
        <v>504710</v>
      </c>
      <c r="GS71" s="23">
        <f t="shared" si="301"/>
        <v>1.1564625850340207</v>
      </c>
      <c r="GT71" s="23">
        <f t="shared" si="301"/>
        <v>1.8746893573000563</v>
      </c>
      <c r="GU71" s="23">
        <f t="shared" si="59"/>
        <v>3.0528320233368476</v>
      </c>
      <c r="GV71" s="23">
        <f t="shared" si="60"/>
        <v>3.246461009737331</v>
      </c>
      <c r="GW71" s="23"/>
      <c r="GX71" s="20">
        <v>1479</v>
      </c>
      <c r="GY71" s="10">
        <f>GZ71/GX71</f>
        <v>346.4976335361731</v>
      </c>
      <c r="GZ71" s="20">
        <v>512470</v>
      </c>
      <c r="HA71" s="20">
        <v>494830</v>
      </c>
      <c r="HB71" s="23">
        <f t="shared" si="302"/>
        <v>-0.5379959650302624</v>
      </c>
      <c r="HC71" s="23">
        <f>GY71*100/GP71-100</f>
        <v>1.28402843826332</v>
      </c>
      <c r="HD71" s="23">
        <f t="shared" si="62"/>
        <v>0.7391244520453739</v>
      </c>
      <c r="HE71" s="23">
        <f t="shared" si="63"/>
        <v>-1.957559786808261</v>
      </c>
      <c r="HF71" s="23"/>
      <c r="HG71" s="20">
        <v>1290</v>
      </c>
      <c r="HH71" s="10">
        <f>HI71/HG71</f>
        <v>346.13953488372096</v>
      </c>
      <c r="HI71" s="20">
        <v>446520</v>
      </c>
      <c r="HJ71" s="20">
        <v>443720</v>
      </c>
      <c r="HK71" s="23">
        <f t="shared" si="304"/>
        <v>-12.7789046653144</v>
      </c>
      <c r="HL71" s="23">
        <f>HH71*100/GY71-100</f>
        <v>-0.10334808027332087</v>
      </c>
      <c r="HM71" s="23">
        <f t="shared" si="105"/>
        <v>-12.869045992936165</v>
      </c>
      <c r="HN71" s="23">
        <f t="shared" si="106"/>
        <v>-10.328799789826803</v>
      </c>
      <c r="HO71" s="23"/>
      <c r="HP71" s="20">
        <v>1317</v>
      </c>
      <c r="HQ71" s="10">
        <f>HR71/HP71</f>
        <v>351.4502657555049</v>
      </c>
      <c r="HR71" s="20">
        <v>462860</v>
      </c>
      <c r="HS71" s="20">
        <v>460060</v>
      </c>
      <c r="HT71" s="46"/>
      <c r="HU71" s="23">
        <f>HQ71*100/HH71-100</f>
        <v>1.534274573278097</v>
      </c>
      <c r="HV71" s="23">
        <f t="shared" si="64"/>
        <v>3.6594105527187963</v>
      </c>
      <c r="HW71" s="23">
        <f t="shared" si="65"/>
        <v>3.682502479040835</v>
      </c>
      <c r="HX71" s="23"/>
      <c r="HY71" s="20">
        <v>1289</v>
      </c>
      <c r="HZ71" s="10">
        <f>IA71/HY71</f>
        <v>351.3653995345229</v>
      </c>
      <c r="IA71" s="20">
        <v>452910</v>
      </c>
      <c r="IB71" s="20">
        <v>449910</v>
      </c>
      <c r="IC71" s="23">
        <f t="shared" si="308"/>
        <v>-2.1260440394836735</v>
      </c>
      <c r="ID71" s="23">
        <f>HZ71*100/HQ71-100</f>
        <v>-0.024147434004518686</v>
      </c>
      <c r="IE71" s="23">
        <f t="shared" si="309"/>
        <v>-2.1496780884068585</v>
      </c>
      <c r="IF71" s="23">
        <f t="shared" si="310"/>
        <v>-2.2062339694822413</v>
      </c>
      <c r="IG71" s="23"/>
      <c r="IH71" s="1" t="s">
        <v>68</v>
      </c>
      <c r="II71" s="29">
        <f t="shared" si="223"/>
        <v>1440.4</v>
      </c>
      <c r="IJ71" s="30">
        <f t="shared" si="224"/>
        <v>332.50949810225455</v>
      </c>
      <c r="IK71" s="29">
        <f t="shared" si="225"/>
        <v>470808.9</v>
      </c>
      <c r="IL71" s="25">
        <f t="shared" si="226"/>
        <v>-8.567064704248821</v>
      </c>
      <c r="IM71" s="25">
        <f t="shared" si="227"/>
        <v>5.696308755494755</v>
      </c>
      <c r="IN71" s="25">
        <f t="shared" si="228"/>
        <v>-2.2830706896152577</v>
      </c>
      <c r="IP71" s="30">
        <f>HP71*100/Italia!BR71</f>
        <v>8.30390920554855</v>
      </c>
      <c r="IQ71" s="30">
        <f>HR71*100/Italia!BT71</f>
        <v>12.695683752783335</v>
      </c>
      <c r="IR71" s="30">
        <f>HS71*100/Italia!BU71</f>
        <v>13.06411514231639</v>
      </c>
    </row>
    <row r="72" spans="1:252" ht="12">
      <c r="A72" s="1" t="s">
        <v>69</v>
      </c>
      <c r="B72" s="22">
        <v>18.75</v>
      </c>
      <c r="C72" s="10">
        <v>315.5</v>
      </c>
      <c r="D72" s="11">
        <v>5911</v>
      </c>
      <c r="E72" s="9"/>
      <c r="F72" s="22">
        <v>24.9</v>
      </c>
      <c r="G72" s="10">
        <v>302.9</v>
      </c>
      <c r="H72" s="11">
        <v>7402</v>
      </c>
      <c r="I72" s="23">
        <f t="shared" si="214"/>
        <v>32.80000000000001</v>
      </c>
      <c r="J72" s="23">
        <f>G72*100/C72-100</f>
        <v>-3.9936608557844835</v>
      </c>
      <c r="K72" s="23">
        <f t="shared" si="215"/>
        <v>25.224158348841144</v>
      </c>
      <c r="L72" s="8"/>
      <c r="M72" s="22">
        <v>24.4</v>
      </c>
      <c r="N72" s="10">
        <f>7812/M72</f>
        <v>320.1639344262295</v>
      </c>
      <c r="O72" s="11">
        <v>7610</v>
      </c>
      <c r="P72" s="23">
        <f t="shared" si="216"/>
        <v>-2.0080321285140457</v>
      </c>
      <c r="Q72" s="23">
        <f>N72*100/G72-100</f>
        <v>5.699549166797468</v>
      </c>
      <c r="R72" s="23">
        <f t="shared" si="217"/>
        <v>2.8100513374763523</v>
      </c>
      <c r="S72" s="8"/>
      <c r="T72" s="22">
        <v>23.85</v>
      </c>
      <c r="U72" s="10">
        <v>305.9</v>
      </c>
      <c r="V72" s="11">
        <v>7065</v>
      </c>
      <c r="W72" s="23">
        <f t="shared" si="311"/>
        <v>-2.254098360655732</v>
      </c>
      <c r="X72" s="23">
        <f>U72*100/N72-100</f>
        <v>-4.45519713261649</v>
      </c>
      <c r="Y72" s="23">
        <f t="shared" si="312"/>
        <v>-7.161629434954008</v>
      </c>
      <c r="Z72" s="8"/>
      <c r="AA72" s="22">
        <v>28.6</v>
      </c>
      <c r="AB72" s="10">
        <f>7395/AA72</f>
        <v>258.56643356643355</v>
      </c>
      <c r="AC72" s="11">
        <v>7340</v>
      </c>
      <c r="AD72" s="23">
        <f t="shared" si="313"/>
        <v>19.91614255765198</v>
      </c>
      <c r="AE72" s="23">
        <f>AB72*100/U72-100</f>
        <v>-15.473542475830797</v>
      </c>
      <c r="AF72" s="23">
        <f t="shared" si="314"/>
        <v>3.8924274593064467</v>
      </c>
      <c r="AG72" s="8"/>
      <c r="AH72" s="22">
        <v>35.05</v>
      </c>
      <c r="AI72" s="10">
        <v>286.1</v>
      </c>
      <c r="AJ72" s="11">
        <v>9989</v>
      </c>
      <c r="AK72" s="23">
        <f t="shared" si="315"/>
        <v>22.552447552447532</v>
      </c>
      <c r="AL72" s="23">
        <f>AI72*100/AB72-100</f>
        <v>10.64854631507778</v>
      </c>
      <c r="AM72" s="23">
        <f t="shared" si="316"/>
        <v>36.0899182561308</v>
      </c>
      <c r="AN72" s="8"/>
      <c r="AO72" s="22">
        <v>36.95</v>
      </c>
      <c r="AP72" s="10">
        <f>10372/AO72</f>
        <v>280.70365358592693</v>
      </c>
      <c r="AQ72" s="11">
        <v>9761</v>
      </c>
      <c r="AR72" s="23">
        <f t="shared" si="317"/>
        <v>5.420827389443673</v>
      </c>
      <c r="AS72" s="23">
        <f>AP72*100/AI72-100</f>
        <v>-1.8861749087987079</v>
      </c>
      <c r="AT72" s="23">
        <f t="shared" si="318"/>
        <v>-2.282510761838026</v>
      </c>
      <c r="AU72" s="8"/>
      <c r="AV72" s="22">
        <v>118.95</v>
      </c>
      <c r="AW72" s="10">
        <f>43606/AV72</f>
        <v>366.5910046237915</v>
      </c>
      <c r="AX72" s="11">
        <v>42155</v>
      </c>
      <c r="AY72" s="23">
        <f t="shared" si="319"/>
        <v>221.92151556156966</v>
      </c>
      <c r="AZ72" s="23">
        <f>AW72*100/AP72-100</f>
        <v>30.597161789906437</v>
      </c>
      <c r="BA72" s="23">
        <f t="shared" si="320"/>
        <v>331.87173445343717</v>
      </c>
      <c r="BB72" s="8"/>
      <c r="BC72" s="22">
        <v>119.1</v>
      </c>
      <c r="BD72" s="10">
        <f>43760/BC72</f>
        <v>367.42233417296393</v>
      </c>
      <c r="BE72" s="11">
        <v>42780</v>
      </c>
      <c r="BF72" s="23">
        <f t="shared" si="321"/>
        <v>0.12610340479193383</v>
      </c>
      <c r="BG72" s="23">
        <f>BD72*100/AW72-100</f>
        <v>0.2267730355319344</v>
      </c>
      <c r="BH72" s="23">
        <f t="shared" si="322"/>
        <v>1.4826236508124708</v>
      </c>
      <c r="BI72" s="8"/>
      <c r="BJ72" s="22">
        <v>120.1</v>
      </c>
      <c r="BK72" s="10">
        <f>44962/BJ72</f>
        <v>374.3713572023314</v>
      </c>
      <c r="BL72" s="11">
        <v>43942</v>
      </c>
      <c r="BM72" s="23">
        <f t="shared" si="218"/>
        <v>0.839630562552486</v>
      </c>
      <c r="BN72" s="23">
        <f>BK72*100/BD72-100</f>
        <v>1.8912903171793118</v>
      </c>
      <c r="BO72" s="23">
        <f t="shared" si="323"/>
        <v>2.7162225338943387</v>
      </c>
      <c r="BP72" s="8"/>
      <c r="BQ72" s="22">
        <v>127.8</v>
      </c>
      <c r="BR72" s="10">
        <f>48635/BQ72</f>
        <v>380.55555555555554</v>
      </c>
      <c r="BS72" s="11">
        <v>47135</v>
      </c>
      <c r="BT72" s="23">
        <f t="shared" si="219"/>
        <v>6.411323896752705</v>
      </c>
      <c r="BU72" s="23">
        <f>BR72*100/BK72-100</f>
        <v>1.6518887554428545</v>
      </c>
      <c r="BV72" s="23">
        <f t="shared" si="324"/>
        <v>7.266396613718086</v>
      </c>
      <c r="BW72" s="8"/>
      <c r="BX72" s="22">
        <v>180.8</v>
      </c>
      <c r="BY72" s="10">
        <v>341.4</v>
      </c>
      <c r="BZ72" s="11">
        <v>57241</v>
      </c>
      <c r="CA72" s="23">
        <f t="shared" si="325"/>
        <v>41.47104851330204</v>
      </c>
      <c r="CB72" s="23">
        <f>BY72*100/BR72-100</f>
        <v>-10.28905109489051</v>
      </c>
      <c r="CC72" s="23">
        <f t="shared" si="326"/>
        <v>21.440543120823165</v>
      </c>
      <c r="CD72" s="8"/>
      <c r="CE72" s="22">
        <v>185.9</v>
      </c>
      <c r="CF72" s="10">
        <v>336.7</v>
      </c>
      <c r="CG72" s="11">
        <v>57536</v>
      </c>
      <c r="CH72" s="23">
        <f t="shared" si="327"/>
        <v>2.820796460176979</v>
      </c>
      <c r="CI72" s="23">
        <f>CF72*100/BY72-100</f>
        <v>-1.3766842413591007</v>
      </c>
      <c r="CJ72" s="23">
        <f t="shared" si="328"/>
        <v>0.5153648608514914</v>
      </c>
      <c r="CK72" s="8"/>
      <c r="CL72" s="22">
        <v>267.5</v>
      </c>
      <c r="CM72" s="10">
        <v>300</v>
      </c>
      <c r="CN72" s="11">
        <v>71436</v>
      </c>
      <c r="CO72" s="23">
        <f t="shared" si="329"/>
        <v>43.894566971490036</v>
      </c>
      <c r="CP72" s="23">
        <f>CM72*100/CF72-100</f>
        <v>-10.899910899910893</v>
      </c>
      <c r="CQ72" s="23">
        <f t="shared" si="330"/>
        <v>24.15878754171301</v>
      </c>
      <c r="CR72" s="8"/>
      <c r="CS72" s="22">
        <v>273.8</v>
      </c>
      <c r="CT72" s="10">
        <f>82910/CS72</f>
        <v>302.81227173119066</v>
      </c>
      <c r="CU72" s="11">
        <v>72295</v>
      </c>
      <c r="CV72" s="23">
        <f t="shared" si="331"/>
        <v>2.3551401869158894</v>
      </c>
      <c r="CW72" s="23">
        <f>CT72*100/CM72-100</f>
        <v>0.9374239103968875</v>
      </c>
      <c r="CX72" s="23">
        <f t="shared" si="332"/>
        <v>1.2024749426059742</v>
      </c>
      <c r="CY72" s="8"/>
      <c r="CZ72" s="22">
        <v>307.3</v>
      </c>
      <c r="DA72" s="10">
        <f>91590/CZ72</f>
        <v>298.04751057598435</v>
      </c>
      <c r="DB72" s="11">
        <v>79590</v>
      </c>
      <c r="DC72" s="23">
        <f t="shared" si="333"/>
        <v>12.235208181154121</v>
      </c>
      <c r="DD72" s="23">
        <f>DA72*100/CT72-100</f>
        <v>-1.5735033220305041</v>
      </c>
      <c r="DE72" s="23">
        <f t="shared" si="334"/>
        <v>10.090601009751708</v>
      </c>
      <c r="DF72" s="8"/>
      <c r="DG72" s="22">
        <v>303.8</v>
      </c>
      <c r="DH72" s="10">
        <f>90330/DG72</f>
        <v>297.33377221856483</v>
      </c>
      <c r="DI72" s="11">
        <v>78590</v>
      </c>
      <c r="DJ72" s="23">
        <f t="shared" si="335"/>
        <v>-1.1389521640091118</v>
      </c>
      <c r="DK72" s="23">
        <f>DH72*100/DA72-100</f>
        <v>-0.23947133664702847</v>
      </c>
      <c r="DL72" s="23">
        <f t="shared" si="336"/>
        <v>-1.256439251162206</v>
      </c>
      <c r="DM72" s="8"/>
      <c r="DN72" s="22">
        <v>212</v>
      </c>
      <c r="DO72" s="10">
        <f>73393/DN72</f>
        <v>346.1933962264151</v>
      </c>
      <c r="DP72" s="11">
        <v>65768</v>
      </c>
      <c r="DQ72" s="23">
        <f t="shared" si="337"/>
        <v>-30.217248189598422</v>
      </c>
      <c r="DR72" s="23">
        <f>DO72*100/DH72-100</f>
        <v>16.43258471558164</v>
      </c>
      <c r="DS72" s="23">
        <f t="shared" si="338"/>
        <v>-16.315052805700475</v>
      </c>
      <c r="DT72" s="8"/>
      <c r="DU72" s="22">
        <v>185.6</v>
      </c>
      <c r="DV72" s="10">
        <f>67037/DU72</f>
        <v>361.1907327586207</v>
      </c>
      <c r="DW72" s="11">
        <v>60187</v>
      </c>
      <c r="DX72" s="23">
        <f t="shared" si="339"/>
        <v>-12.452830188679243</v>
      </c>
      <c r="DY72" s="23">
        <f>DV72*100/DO72-100</f>
        <v>4.332068923231915</v>
      </c>
      <c r="DZ72" s="23">
        <f t="shared" si="340"/>
        <v>-8.4858897944289</v>
      </c>
      <c r="EA72" s="8"/>
      <c r="EB72" s="22">
        <v>180</v>
      </c>
      <c r="EC72" s="10">
        <f>65810/EB72</f>
        <v>365.6111111111111</v>
      </c>
      <c r="ED72" s="11">
        <v>59385</v>
      </c>
      <c r="EE72" s="23">
        <f t="shared" si="341"/>
        <v>-3.0172413793103487</v>
      </c>
      <c r="EF72" s="23">
        <f>EC72*100/DV72-100</f>
        <v>1.2238349302955385</v>
      </c>
      <c r="EG72" s="23">
        <f t="shared" si="342"/>
        <v>-1.3325136657417715</v>
      </c>
      <c r="EH72" s="8"/>
      <c r="EI72" s="22">
        <v>190</v>
      </c>
      <c r="EJ72" s="10">
        <f>63320/EI72</f>
        <v>333.2631578947368</v>
      </c>
      <c r="EK72" s="11">
        <v>58745</v>
      </c>
      <c r="EL72" s="23">
        <f t="shared" si="343"/>
        <v>5.555555555555557</v>
      </c>
      <c r="EM72" s="23">
        <f>EJ72*100/EC72-100</f>
        <v>-8.847639536464627</v>
      </c>
      <c r="EN72" s="23">
        <f t="shared" si="344"/>
        <v>-1.0777132272459369</v>
      </c>
      <c r="EO72" s="8"/>
      <c r="EP72" s="22">
        <v>175.8</v>
      </c>
      <c r="EQ72" s="10">
        <f>59908/EP72</f>
        <v>340.773606370876</v>
      </c>
      <c r="ER72" s="11">
        <v>54490</v>
      </c>
      <c r="ES72" s="23">
        <f t="shared" si="345"/>
        <v>-7.473684210526315</v>
      </c>
      <c r="ET72" s="23">
        <f>EQ72*100/EJ72-100</f>
        <v>2.2536089868389837</v>
      </c>
      <c r="EU72" s="23">
        <f t="shared" si="346"/>
        <v>-7.243169631458002</v>
      </c>
      <c r="EV72" s="8"/>
      <c r="EW72" s="22">
        <v>164.5</v>
      </c>
      <c r="EX72" s="10">
        <f t="shared" si="265"/>
        <v>342.58966565349544</v>
      </c>
      <c r="EY72" s="11">
        <v>56356</v>
      </c>
      <c r="EZ72" s="11">
        <v>51906</v>
      </c>
      <c r="FA72" s="23">
        <f t="shared" si="198"/>
        <v>-6.427758816837326</v>
      </c>
      <c r="FB72" s="23">
        <f>EX72*100/EQ72-100</f>
        <v>0.5329225176679273</v>
      </c>
      <c r="FC72" s="23">
        <f t="shared" si="199"/>
        <v>-4.742154523765834</v>
      </c>
      <c r="FD72" s="8"/>
      <c r="FE72" s="22">
        <v>162.7</v>
      </c>
      <c r="FF72" s="10">
        <f t="shared" si="229"/>
        <v>341.7947141979103</v>
      </c>
      <c r="FG72" s="11">
        <v>55610</v>
      </c>
      <c r="FH72" s="11">
        <v>51060</v>
      </c>
      <c r="FI72" s="23">
        <f t="shared" si="266"/>
        <v>-1.0942249240121669</v>
      </c>
      <c r="FJ72" s="23">
        <f t="shared" si="271"/>
        <v>-0.23204186678216843</v>
      </c>
      <c r="FK72" s="23">
        <f t="shared" si="271"/>
        <v>-1.3237277308538609</v>
      </c>
      <c r="FL72" s="23">
        <f t="shared" si="267"/>
        <v>-1.6298693792625158</v>
      </c>
      <c r="FM72" s="23"/>
      <c r="FN72" s="22">
        <v>153.3</v>
      </c>
      <c r="FO72" s="10">
        <f t="shared" si="220"/>
        <v>342.4005218525766</v>
      </c>
      <c r="FP72" s="11">
        <v>52490</v>
      </c>
      <c r="FQ72" s="11">
        <v>48740</v>
      </c>
      <c r="FR72" s="23">
        <f>FN72*100/FE72-100</f>
        <v>-5.777504609711102</v>
      </c>
      <c r="FS72" s="23">
        <f>FO72*100/FF72-100</f>
        <v>0.17724313147672888</v>
      </c>
      <c r="FT72" s="23">
        <f t="shared" si="53"/>
        <v>-5.610501708325842</v>
      </c>
      <c r="FU72" s="23">
        <f t="shared" si="53"/>
        <v>-4.543674108891494</v>
      </c>
      <c r="FV72" s="23"/>
      <c r="FW72" s="22">
        <v>157</v>
      </c>
      <c r="FX72" s="10">
        <f>FY72/FW72</f>
        <v>344.3312101910828</v>
      </c>
      <c r="FY72" s="20">
        <v>54060</v>
      </c>
      <c r="FZ72" s="20">
        <v>49245</v>
      </c>
      <c r="GA72" s="23">
        <f t="shared" si="348"/>
        <v>2.4135681669928175</v>
      </c>
      <c r="GB72" s="23">
        <f t="shared" si="348"/>
        <v>0.563868398348248</v>
      </c>
      <c r="GC72" s="23">
        <f t="shared" si="348"/>
        <v>2.9910459135073353</v>
      </c>
      <c r="GD72" s="23">
        <f t="shared" si="348"/>
        <v>1.0361099712761614</v>
      </c>
      <c r="GE72" s="23"/>
      <c r="GF72" s="22">
        <v>155.65</v>
      </c>
      <c r="GG72" s="10">
        <f>GH72/GF72</f>
        <v>349.91969161580465</v>
      </c>
      <c r="GH72" s="20">
        <v>54465</v>
      </c>
      <c r="GI72" s="20">
        <v>50865</v>
      </c>
      <c r="GJ72" s="23">
        <f t="shared" si="300"/>
        <v>-0.8598726114649651</v>
      </c>
      <c r="GK72" s="23">
        <f t="shared" si="300"/>
        <v>1.6229959002614294</v>
      </c>
      <c r="GL72" s="23">
        <f t="shared" si="57"/>
        <v>0.7491675915649267</v>
      </c>
      <c r="GM72" s="23">
        <f t="shared" si="57"/>
        <v>3.289674078586657</v>
      </c>
      <c r="GN72" s="23"/>
      <c r="GO72" s="22">
        <v>116.75</v>
      </c>
      <c r="GP72" s="10">
        <f>GQ72/GO72</f>
        <v>333.1477516059957</v>
      </c>
      <c r="GQ72" s="20">
        <v>38895</v>
      </c>
      <c r="GR72" s="20">
        <v>35295</v>
      </c>
      <c r="GS72" s="23">
        <f t="shared" si="301"/>
        <v>-24.99196916158047</v>
      </c>
      <c r="GT72" s="23">
        <f t="shared" si="301"/>
        <v>-4.7930826448668995</v>
      </c>
      <c r="GU72" s="23">
        <f t="shared" si="59"/>
        <v>-28.587166069953184</v>
      </c>
      <c r="GV72" s="23">
        <f t="shared" si="60"/>
        <v>-30.61043939840755</v>
      </c>
      <c r="GW72" s="23"/>
      <c r="GX72" s="22">
        <v>104.6</v>
      </c>
      <c r="GY72" s="10">
        <f>GZ72/GX72</f>
        <v>330.5927342256214</v>
      </c>
      <c r="GZ72" s="20">
        <v>34580</v>
      </c>
      <c r="HA72" s="20">
        <v>30980</v>
      </c>
      <c r="HB72" s="23">
        <f t="shared" si="302"/>
        <v>-10.406852248394003</v>
      </c>
      <c r="HC72" s="23">
        <f>GY72*100/GP72-100</f>
        <v>-0.7669321999195091</v>
      </c>
      <c r="HD72" s="23">
        <f t="shared" si="62"/>
        <v>-11.093970947422548</v>
      </c>
      <c r="HE72" s="23">
        <f t="shared" si="63"/>
        <v>-12.225527695140954</v>
      </c>
      <c r="HF72" s="23"/>
      <c r="HG72" s="22">
        <v>120.9</v>
      </c>
      <c r="HH72" s="10">
        <f>HI72/HG72</f>
        <v>341.6873449131513</v>
      </c>
      <c r="HI72" s="20">
        <v>41310</v>
      </c>
      <c r="HJ72" s="20">
        <v>36810</v>
      </c>
      <c r="HK72" s="23">
        <f t="shared" si="304"/>
        <v>15.583173996175915</v>
      </c>
      <c r="HL72" s="23">
        <f>HH72*100/GY72-100</f>
        <v>3.355975355452941</v>
      </c>
      <c r="HM72" s="23">
        <f t="shared" si="105"/>
        <v>19.46211683053788</v>
      </c>
      <c r="HN72" s="23">
        <f t="shared" si="106"/>
        <v>18.818592640413172</v>
      </c>
      <c r="HO72" s="23"/>
      <c r="HP72" s="22">
        <v>124.5</v>
      </c>
      <c r="HQ72" s="10">
        <f>HR72/HP72</f>
        <v>359.718875502008</v>
      </c>
      <c r="HR72" s="20">
        <v>44785</v>
      </c>
      <c r="HS72" s="20">
        <v>40135</v>
      </c>
      <c r="HT72" s="23">
        <f t="shared" si="306"/>
        <v>2.977667493796517</v>
      </c>
      <c r="HU72" s="23">
        <f>HQ72*100/HH72-100</f>
        <v>5.277201762751815</v>
      </c>
      <c r="HV72" s="23">
        <f t="shared" si="64"/>
        <v>8.412006778019844</v>
      </c>
      <c r="HW72" s="23">
        <f t="shared" si="65"/>
        <v>9.032871502309149</v>
      </c>
      <c r="HX72" s="23"/>
      <c r="HY72" s="22"/>
      <c r="HZ72" s="10" t="e">
        <f>IA72/HY72</f>
        <v>#DIV/0!</v>
      </c>
      <c r="IA72" s="20"/>
      <c r="IB72" s="20"/>
      <c r="IC72" s="23">
        <f t="shared" si="308"/>
        <v>-100</v>
      </c>
      <c r="ID72" s="23" t="e">
        <f>HZ72*100/HQ72-100</f>
        <v>#DIV/0!</v>
      </c>
      <c r="IE72" s="23">
        <f t="shared" si="309"/>
        <v>-100</v>
      </c>
      <c r="IF72" s="23">
        <f t="shared" si="310"/>
        <v>-100</v>
      </c>
      <c r="IG72" s="23"/>
      <c r="IH72" s="1" t="s">
        <v>69</v>
      </c>
      <c r="II72" s="29">
        <f t="shared" si="223"/>
        <v>150.12</v>
      </c>
      <c r="IJ72" s="30">
        <f t="shared" si="224"/>
        <v>340.05003985212517</v>
      </c>
      <c r="IK72" s="29">
        <f t="shared" si="225"/>
        <v>46813.6</v>
      </c>
      <c r="IL72" s="25">
        <f t="shared" si="226"/>
        <v>-17.06634692246203</v>
      </c>
      <c r="IM72" s="25">
        <f t="shared" si="227"/>
        <v>5.784100380766333</v>
      </c>
      <c r="IN72" s="25">
        <f t="shared" si="228"/>
        <v>-14.266367038638336</v>
      </c>
      <c r="IP72" s="30">
        <f>HP72*100/Italia!BR72</f>
        <v>3.245737525418426</v>
      </c>
      <c r="IQ72" s="30">
        <f>HR72*100/Italia!BT72</f>
        <v>3.431440530764203</v>
      </c>
      <c r="IR72" s="30">
        <f>HS72*100/Italia!BU72</f>
        <v>3.2269969430565895</v>
      </c>
    </row>
    <row r="73" spans="1:252" ht="9.75" customHeight="1">
      <c r="A73" s="1" t="s">
        <v>70</v>
      </c>
      <c r="B73" s="19">
        <f>B72+B71</f>
        <v>631.75</v>
      </c>
      <c r="C73" s="6" t="s">
        <v>1</v>
      </c>
      <c r="D73" s="9">
        <f>D72+D71</f>
        <v>151011</v>
      </c>
      <c r="E73" s="9"/>
      <c r="F73" s="19">
        <f>F71+F72</f>
        <v>673.9</v>
      </c>
      <c r="G73" s="6" t="s">
        <v>1</v>
      </c>
      <c r="H73" s="9">
        <f>H72+H71</f>
        <v>162202</v>
      </c>
      <c r="I73" s="23">
        <f aca="true" t="shared" si="349" ref="I73:I104">F73*100/B73-100</f>
        <v>6.671943015433314</v>
      </c>
      <c r="J73" s="24" t="s">
        <v>1</v>
      </c>
      <c r="K73" s="23">
        <f aca="true" t="shared" si="350" ref="K73:K104">H73*100/D73-100</f>
        <v>7.410718424485637</v>
      </c>
      <c r="L73" s="8"/>
      <c r="M73" s="19">
        <f>M71+M72</f>
        <v>900.4</v>
      </c>
      <c r="N73" s="6" t="s">
        <v>1</v>
      </c>
      <c r="O73" s="9">
        <f>O72+O71</f>
        <v>190610</v>
      </c>
      <c r="P73" s="23">
        <f aca="true" t="shared" si="351" ref="P73:P104">M73*100/F73-100</f>
        <v>33.610327941831144</v>
      </c>
      <c r="Q73" s="24" t="s">
        <v>1</v>
      </c>
      <c r="R73" s="23">
        <f aca="true" t="shared" si="352" ref="R73:R104">O73*100/H73-100</f>
        <v>17.513964069493596</v>
      </c>
      <c r="S73" s="8"/>
      <c r="T73" s="19">
        <f>T71+T72</f>
        <v>943.85</v>
      </c>
      <c r="U73" s="6" t="s">
        <v>1</v>
      </c>
      <c r="V73" s="9">
        <f>V72+V71</f>
        <v>233165</v>
      </c>
      <c r="W73" s="23">
        <f t="shared" si="311"/>
        <v>4.825633051976908</v>
      </c>
      <c r="X73" s="24" t="s">
        <v>1</v>
      </c>
      <c r="Y73" s="23">
        <f t="shared" si="312"/>
        <v>22.32569120193064</v>
      </c>
      <c r="Z73" s="8"/>
      <c r="AA73" s="19">
        <f>AA71+AA72</f>
        <v>941.6</v>
      </c>
      <c r="AB73" s="6" t="s">
        <v>1</v>
      </c>
      <c r="AC73" s="9">
        <f>AC72+AC71</f>
        <v>209640</v>
      </c>
      <c r="AD73" s="23">
        <f t="shared" si="313"/>
        <v>-0.23838533665306727</v>
      </c>
      <c r="AE73" s="24" t="s">
        <v>1</v>
      </c>
      <c r="AF73" s="23">
        <f t="shared" si="314"/>
        <v>-10.089421654193387</v>
      </c>
      <c r="AG73" s="8"/>
      <c r="AH73" s="19">
        <f>AH71+AH72</f>
        <v>984.05</v>
      </c>
      <c r="AI73" s="6" t="s">
        <v>1</v>
      </c>
      <c r="AJ73" s="9">
        <f>AJ72+AJ71</f>
        <v>238889</v>
      </c>
      <c r="AK73" s="23">
        <f t="shared" si="315"/>
        <v>4.5082837723024625</v>
      </c>
      <c r="AL73" s="24" t="s">
        <v>1</v>
      </c>
      <c r="AM73" s="23">
        <f t="shared" si="316"/>
        <v>13.952012974623159</v>
      </c>
      <c r="AN73" s="8"/>
      <c r="AO73" s="19">
        <f>AO71+AO72</f>
        <v>1026.95</v>
      </c>
      <c r="AP73" s="6" t="s">
        <v>1</v>
      </c>
      <c r="AQ73" s="9">
        <f>AQ72+AQ71</f>
        <v>245961</v>
      </c>
      <c r="AR73" s="23">
        <f t="shared" si="317"/>
        <v>4.359534576495108</v>
      </c>
      <c r="AS73" s="24" t="s">
        <v>1</v>
      </c>
      <c r="AT73" s="23">
        <f t="shared" si="318"/>
        <v>2.960370716106638</v>
      </c>
      <c r="AU73" s="8"/>
      <c r="AV73" s="19">
        <f>AV71+AV72</f>
        <v>1184.95</v>
      </c>
      <c r="AW73" s="6" t="s">
        <v>1</v>
      </c>
      <c r="AX73" s="9">
        <f>AX72+AX71</f>
        <v>275390</v>
      </c>
      <c r="AY73" s="23">
        <f t="shared" si="319"/>
        <v>15.385364428647932</v>
      </c>
      <c r="AZ73" s="24" t="s">
        <v>1</v>
      </c>
      <c r="BA73" s="23">
        <f t="shared" si="320"/>
        <v>11.964905005265067</v>
      </c>
      <c r="BB73" s="8"/>
      <c r="BC73" s="19">
        <f>BC71+BC72</f>
        <v>1235.1</v>
      </c>
      <c r="BD73" s="6" t="s">
        <v>1</v>
      </c>
      <c r="BE73" s="9">
        <f>BE72+BE71</f>
        <v>278719</v>
      </c>
      <c r="BF73" s="23">
        <f t="shared" si="321"/>
        <v>4.2322460863327365</v>
      </c>
      <c r="BG73" s="24" t="s">
        <v>1</v>
      </c>
      <c r="BH73" s="23">
        <f t="shared" si="322"/>
        <v>1.2088311122408157</v>
      </c>
      <c r="BI73" s="8"/>
      <c r="BJ73" s="19">
        <f>BJ71+BJ72</f>
        <v>1257.1</v>
      </c>
      <c r="BK73" s="6" t="s">
        <v>1</v>
      </c>
      <c r="BL73" s="9">
        <f>BL72+BL71</f>
        <v>330184</v>
      </c>
      <c r="BM73" s="23">
        <f aca="true" t="shared" si="353" ref="BM73:BM104">BJ73*100/BC73-100</f>
        <v>1.781232288883487</v>
      </c>
      <c r="BN73" s="24" t="s">
        <v>1</v>
      </c>
      <c r="BO73" s="23">
        <f t="shared" si="323"/>
        <v>18.464833757296773</v>
      </c>
      <c r="BP73" s="8"/>
      <c r="BQ73" s="19">
        <f>BQ71+BQ72</f>
        <v>1251.8</v>
      </c>
      <c r="BR73" s="6" t="s">
        <v>1</v>
      </c>
      <c r="BS73" s="9">
        <f>BS72+BS71</f>
        <v>301245</v>
      </c>
      <c r="BT73" s="23">
        <f aca="true" t="shared" si="354" ref="BT73:BT104">BQ73*100/BJ73-100</f>
        <v>-0.42160528199823943</v>
      </c>
      <c r="BU73" s="24" t="s">
        <v>1</v>
      </c>
      <c r="BV73" s="23">
        <f t="shared" si="324"/>
        <v>-8.764507062728654</v>
      </c>
      <c r="BW73" s="8"/>
      <c r="BX73" s="19">
        <f>BX71+BX72</f>
        <v>1584.8</v>
      </c>
      <c r="BY73" s="6" t="s">
        <v>1</v>
      </c>
      <c r="BZ73" s="9">
        <f>BZ72+BZ71</f>
        <v>420706</v>
      </c>
      <c r="CA73" s="23">
        <f t="shared" si="325"/>
        <v>26.601693561271773</v>
      </c>
      <c r="CB73" s="24" t="s">
        <v>1</v>
      </c>
      <c r="CC73" s="23">
        <f t="shared" si="326"/>
        <v>39.6557619213597</v>
      </c>
      <c r="CD73" s="8"/>
      <c r="CE73" s="19">
        <f>CE71+CE72</f>
        <v>1403.9</v>
      </c>
      <c r="CF73" s="6" t="s">
        <v>1</v>
      </c>
      <c r="CG73" s="9">
        <f>CG72+CG71</f>
        <v>366548</v>
      </c>
      <c r="CH73" s="23">
        <f t="shared" si="327"/>
        <v>-11.41468955073195</v>
      </c>
      <c r="CI73" s="24" t="s">
        <v>1</v>
      </c>
      <c r="CJ73" s="23">
        <f t="shared" si="328"/>
        <v>-12.873122798343744</v>
      </c>
      <c r="CK73" s="8"/>
      <c r="CL73" s="19">
        <f>CL71+CL72</f>
        <v>1509.5</v>
      </c>
      <c r="CM73" s="6" t="s">
        <v>1</v>
      </c>
      <c r="CN73" s="9">
        <f>CN72+CN71</f>
        <v>406891</v>
      </c>
      <c r="CO73" s="23">
        <f t="shared" si="329"/>
        <v>7.521903269463635</v>
      </c>
      <c r="CP73" s="24" t="s">
        <v>1</v>
      </c>
      <c r="CQ73" s="23">
        <f t="shared" si="330"/>
        <v>11.006198369654186</v>
      </c>
      <c r="CR73" s="8"/>
      <c r="CS73" s="19">
        <f>CS71+CS72</f>
        <v>1929.8</v>
      </c>
      <c r="CT73" s="6" t="s">
        <v>1</v>
      </c>
      <c r="CU73" s="9">
        <f>CU72+CU71</f>
        <v>480384</v>
      </c>
      <c r="CV73" s="23">
        <f t="shared" si="331"/>
        <v>27.843656840013253</v>
      </c>
      <c r="CW73" s="24" t="s">
        <v>1</v>
      </c>
      <c r="CX73" s="23">
        <f t="shared" si="332"/>
        <v>18.062085423368913</v>
      </c>
      <c r="CY73" s="8"/>
      <c r="CZ73" s="19">
        <f>CZ71+CZ72</f>
        <v>1954.3</v>
      </c>
      <c r="DA73" s="6" t="s">
        <v>1</v>
      </c>
      <c r="DB73" s="9">
        <f>DB72+DB71</f>
        <v>484278</v>
      </c>
      <c r="DC73" s="23">
        <f t="shared" si="333"/>
        <v>1.2695616126023452</v>
      </c>
      <c r="DD73" s="24" t="s">
        <v>1</v>
      </c>
      <c r="DE73" s="23">
        <f t="shared" si="334"/>
        <v>0.8106015187849778</v>
      </c>
      <c r="DF73" s="8"/>
      <c r="DG73" s="19">
        <f>DG71+DG72</f>
        <v>1880.8</v>
      </c>
      <c r="DH73" s="6" t="s">
        <v>1</v>
      </c>
      <c r="DI73" s="9">
        <f>DI72+DI71</f>
        <v>461120</v>
      </c>
      <c r="DJ73" s="23">
        <f t="shared" si="335"/>
        <v>-3.7609374200480943</v>
      </c>
      <c r="DK73" s="24" t="s">
        <v>1</v>
      </c>
      <c r="DL73" s="23">
        <f t="shared" si="336"/>
        <v>-4.781964078483853</v>
      </c>
      <c r="DM73" s="8"/>
      <c r="DN73" s="19">
        <f>DN71+DN72</f>
        <v>1740</v>
      </c>
      <c r="DO73" s="6" t="s">
        <v>1</v>
      </c>
      <c r="DP73" s="9">
        <f>DP72+DP71</f>
        <v>460988</v>
      </c>
      <c r="DQ73" s="23">
        <f t="shared" si="337"/>
        <v>-7.4861760952786085</v>
      </c>
      <c r="DR73" s="24" t="s">
        <v>1</v>
      </c>
      <c r="DS73" s="23">
        <f t="shared" si="338"/>
        <v>-0.0286259541984748</v>
      </c>
      <c r="DT73" s="8"/>
      <c r="DU73" s="19">
        <f>DU71+DU72</f>
        <v>1609.6</v>
      </c>
      <c r="DV73" s="6" t="s">
        <v>1</v>
      </c>
      <c r="DW73" s="9">
        <f>DW72+DW71</f>
        <v>462717</v>
      </c>
      <c r="DX73" s="23">
        <f t="shared" si="339"/>
        <v>-7.494252873563212</v>
      </c>
      <c r="DY73" s="24" t="s">
        <v>1</v>
      </c>
      <c r="DZ73" s="23">
        <f t="shared" si="340"/>
        <v>0.3750639929889701</v>
      </c>
      <c r="EA73" s="8"/>
      <c r="EB73" s="19">
        <f>EB71+EB72</f>
        <v>1710</v>
      </c>
      <c r="EC73" s="6" t="s">
        <v>1</v>
      </c>
      <c r="ED73" s="9">
        <f>ED72+ED71</f>
        <v>536865</v>
      </c>
      <c r="EE73" s="23">
        <f t="shared" si="341"/>
        <v>6.23757455268391</v>
      </c>
      <c r="EF73" s="24" t="s">
        <v>1</v>
      </c>
      <c r="EG73" s="23">
        <f t="shared" si="342"/>
        <v>16.024481486524166</v>
      </c>
      <c r="EH73" s="8"/>
      <c r="EI73" s="19">
        <f>EI71+EI72</f>
        <v>1635</v>
      </c>
      <c r="EJ73" s="6" t="s">
        <v>1</v>
      </c>
      <c r="EK73" s="9">
        <f>EK72+EK71</f>
        <v>504033</v>
      </c>
      <c r="EL73" s="23">
        <f t="shared" si="343"/>
        <v>-4.3859649122806985</v>
      </c>
      <c r="EM73" s="24" t="s">
        <v>1</v>
      </c>
      <c r="EN73" s="23">
        <f t="shared" si="344"/>
        <v>-6.115503897627889</v>
      </c>
      <c r="EO73" s="8"/>
      <c r="EP73" s="19">
        <f>EP71+EP72</f>
        <v>1581.8</v>
      </c>
      <c r="EQ73" s="6" t="s">
        <v>1</v>
      </c>
      <c r="ER73" s="9">
        <f>ER72+ER71</f>
        <v>489690</v>
      </c>
      <c r="ES73" s="23">
        <f t="shared" si="345"/>
        <v>-3.25382262996942</v>
      </c>
      <c r="ET73" s="24" t="s">
        <v>1</v>
      </c>
      <c r="EU73" s="23">
        <f t="shared" si="346"/>
        <v>-2.8456470112076033</v>
      </c>
      <c r="EV73" s="8"/>
      <c r="EW73" s="19">
        <f>EW71+EW72</f>
        <v>1552.5</v>
      </c>
      <c r="EX73" s="10">
        <f t="shared" si="265"/>
        <v>319.997423510467</v>
      </c>
      <c r="EY73" s="9">
        <f>EY72+EY71</f>
        <v>496796</v>
      </c>
      <c r="EZ73" s="9">
        <f>EZ72+EZ71</f>
        <v>483167</v>
      </c>
      <c r="FA73" s="23">
        <f t="shared" si="198"/>
        <v>-1.852320141610818</v>
      </c>
      <c r="FB73" s="24" t="s">
        <v>1</v>
      </c>
      <c r="FC73" s="23">
        <f t="shared" si="199"/>
        <v>-1.3320672262043303</v>
      </c>
      <c r="FD73" s="8"/>
      <c r="FE73" s="19">
        <f>FE71+FE72</f>
        <v>1516.7</v>
      </c>
      <c r="FF73" s="10">
        <f t="shared" si="229"/>
        <v>317.587525548889</v>
      </c>
      <c r="FG73" s="9">
        <f>FG72+FG71</f>
        <v>481685</v>
      </c>
      <c r="FH73" s="9">
        <f>FH72+FH71</f>
        <v>468296</v>
      </c>
      <c r="FI73" s="23">
        <f t="shared" si="266"/>
        <v>-2.3059581320450917</v>
      </c>
      <c r="FJ73" s="23">
        <f t="shared" si="271"/>
        <v>-0.7530991765935795</v>
      </c>
      <c r="FK73" s="23">
        <f t="shared" si="271"/>
        <v>-3.041691156933638</v>
      </c>
      <c r="FL73" s="23">
        <f t="shared" si="267"/>
        <v>-3.07781781454446</v>
      </c>
      <c r="FM73" s="23"/>
      <c r="FN73" s="19">
        <f>FN71+FN72</f>
        <v>1704.3</v>
      </c>
      <c r="FO73" s="6" t="s">
        <v>1</v>
      </c>
      <c r="FP73" s="19">
        <f>FP71+FP72</f>
        <v>594622</v>
      </c>
      <c r="FQ73" s="9">
        <f>FQ72+FQ71</f>
        <v>578444</v>
      </c>
      <c r="FR73" s="23">
        <f>FN73*100/FE73-100</f>
        <v>12.36895892397969</v>
      </c>
      <c r="FS73" s="24" t="s">
        <v>1</v>
      </c>
      <c r="FT73" s="23">
        <f t="shared" si="53"/>
        <v>23.44623561040929</v>
      </c>
      <c r="FU73" s="23">
        <f t="shared" si="53"/>
        <v>23.521020892768675</v>
      </c>
      <c r="FV73" s="23"/>
      <c r="FW73" s="19">
        <f>FW71+FW72</f>
        <v>1691</v>
      </c>
      <c r="FX73" s="6" t="s">
        <v>1</v>
      </c>
      <c r="FY73" s="19">
        <f>FY71+FY72</f>
        <v>579160</v>
      </c>
      <c r="FZ73" s="19">
        <f>FZ71+FZ72</f>
        <v>566545</v>
      </c>
      <c r="GA73" s="24" t="s">
        <v>1</v>
      </c>
      <c r="GB73" s="24" t="s">
        <v>1</v>
      </c>
      <c r="GC73" s="24" t="s">
        <v>1</v>
      </c>
      <c r="GD73" s="24" t="s">
        <v>1</v>
      </c>
      <c r="GE73" s="23"/>
      <c r="GF73" s="19">
        <f>GF71+GF72</f>
        <v>1625.65</v>
      </c>
      <c r="GG73" s="6" t="s">
        <v>1</v>
      </c>
      <c r="GH73" s="19">
        <f>GH71+GH72</f>
        <v>548105</v>
      </c>
      <c r="GI73" s="19">
        <f>GI71+GI72</f>
        <v>539705</v>
      </c>
      <c r="GJ73" s="23">
        <f t="shared" si="300"/>
        <v>-3.8645771732702485</v>
      </c>
      <c r="GK73" s="24" t="s">
        <v>1</v>
      </c>
      <c r="GL73" s="23">
        <f t="shared" si="57"/>
        <v>-5.362076110228614</v>
      </c>
      <c r="GM73" s="23">
        <f t="shared" si="57"/>
        <v>-4.7374877547238015</v>
      </c>
      <c r="GN73" s="23"/>
      <c r="GO73" s="19">
        <f>GO71+GO72</f>
        <v>1603.75</v>
      </c>
      <c r="GP73" s="6" t="s">
        <v>1</v>
      </c>
      <c r="GQ73" s="19">
        <f>GQ71+GQ72</f>
        <v>547605</v>
      </c>
      <c r="GR73" s="19">
        <f>GR71+GR72</f>
        <v>540005</v>
      </c>
      <c r="GS73" s="23">
        <f t="shared" si="301"/>
        <v>-1.3471534463137829</v>
      </c>
      <c r="GT73" s="24" t="s">
        <v>1</v>
      </c>
      <c r="GU73" s="23">
        <f t="shared" si="59"/>
        <v>-0.09122339697685788</v>
      </c>
      <c r="GV73" s="23">
        <f t="shared" si="60"/>
        <v>0.055585921938842375</v>
      </c>
      <c r="GW73" s="23"/>
      <c r="GX73" s="19">
        <f>GX71+GX72</f>
        <v>1583.6</v>
      </c>
      <c r="GY73" s="6" t="s">
        <v>1</v>
      </c>
      <c r="GZ73" s="19">
        <f>GZ71+GZ72</f>
        <v>547050</v>
      </c>
      <c r="HA73" s="19">
        <f>HA71+HA72</f>
        <v>525810</v>
      </c>
      <c r="HB73" s="23">
        <f t="shared" si="302"/>
        <v>-1.256430241621203</v>
      </c>
      <c r="HC73" s="24" t="s">
        <v>1</v>
      </c>
      <c r="HD73" s="23">
        <f t="shared" si="62"/>
        <v>-0.10135042594571075</v>
      </c>
      <c r="HE73" s="23">
        <f t="shared" si="63"/>
        <v>-2.6286793640799573</v>
      </c>
      <c r="HF73" s="23"/>
      <c r="HG73" s="19">
        <f>HG71+HG72</f>
        <v>1410.9</v>
      </c>
      <c r="HH73" s="6" t="s">
        <v>1</v>
      </c>
      <c r="HI73" s="19">
        <f>HI71+HI72</f>
        <v>487830</v>
      </c>
      <c r="HJ73" s="19">
        <f>HJ71+HJ72</f>
        <v>480530</v>
      </c>
      <c r="HK73" s="23">
        <f t="shared" si="304"/>
        <v>-10.905531699924225</v>
      </c>
      <c r="HL73" s="24" t="s">
        <v>1</v>
      </c>
      <c r="HM73" s="23">
        <f t="shared" si="105"/>
        <v>-10.825335892514389</v>
      </c>
      <c r="HN73" s="23">
        <f t="shared" si="106"/>
        <v>-8.61147562807858</v>
      </c>
      <c r="HO73" s="23"/>
      <c r="HP73" s="19">
        <f>HP71+HP72</f>
        <v>1441.5</v>
      </c>
      <c r="HQ73" s="6" t="s">
        <v>1</v>
      </c>
      <c r="HR73" s="19">
        <f>HR71+HR72</f>
        <v>507645</v>
      </c>
      <c r="HS73" s="19">
        <f>HS71+HS72</f>
        <v>500195</v>
      </c>
      <c r="HT73" s="23">
        <f t="shared" si="306"/>
        <v>2.1688284073995305</v>
      </c>
      <c r="HU73" s="24" t="s">
        <v>1</v>
      </c>
      <c r="HV73" s="23">
        <f t="shared" si="64"/>
        <v>4.061865813910586</v>
      </c>
      <c r="HW73" s="23">
        <f t="shared" si="65"/>
        <v>4.0923563565230126</v>
      </c>
      <c r="HX73" s="23"/>
      <c r="HY73" s="19">
        <f>HY71+HY72</f>
        <v>1289</v>
      </c>
      <c r="HZ73" s="6" t="s">
        <v>1</v>
      </c>
      <c r="IA73" s="19">
        <f>IA71+IA72</f>
        <v>452910</v>
      </c>
      <c r="IB73" s="19">
        <f>IB71+IB72</f>
        <v>449910</v>
      </c>
      <c r="IC73" s="23">
        <f t="shared" si="308"/>
        <v>-10.579257717655224</v>
      </c>
      <c r="ID73" s="24" t="s">
        <v>1</v>
      </c>
      <c r="IE73" s="23">
        <f t="shared" si="309"/>
        <v>-10.782141063144522</v>
      </c>
      <c r="IF73" s="23">
        <f t="shared" si="310"/>
        <v>-10.05307929907336</v>
      </c>
      <c r="IG73" s="23"/>
      <c r="IH73" s="1" t="s">
        <v>70</v>
      </c>
      <c r="II73" s="29">
        <f t="shared" si="223"/>
        <v>1590.52</v>
      </c>
      <c r="IJ73" s="30">
        <f t="shared" si="224"/>
        <v>318.792474529678</v>
      </c>
      <c r="IK73" s="29">
        <f t="shared" si="225"/>
        <v>517622.5</v>
      </c>
      <c r="IL73" s="25">
        <f t="shared" si="226"/>
        <v>-9.369262882579278</v>
      </c>
      <c r="IM73" s="25">
        <f t="shared" si="227"/>
        <v>-100</v>
      </c>
      <c r="IN73" s="25">
        <f t="shared" si="228"/>
        <v>-3.3668358697699574</v>
      </c>
      <c r="IP73" s="30">
        <f>HP73*100/Italia!BR73</f>
        <v>7.318819240650291</v>
      </c>
      <c r="IQ73" s="30">
        <f>HR73*100/Italia!BT73</f>
        <v>10.253501201690264</v>
      </c>
      <c r="IR73" s="30">
        <f>HS73*100/Italia!BU73</f>
        <v>10.496652768220804</v>
      </c>
    </row>
    <row r="74" spans="1:252" ht="12">
      <c r="A74" s="1" t="s">
        <v>71</v>
      </c>
      <c r="B74" s="20">
        <v>155</v>
      </c>
      <c r="C74" s="10">
        <v>250.3</v>
      </c>
      <c r="D74" s="11">
        <v>38800</v>
      </c>
      <c r="E74" s="9"/>
      <c r="F74" s="20">
        <v>171</v>
      </c>
      <c r="G74" s="10">
        <v>271.2</v>
      </c>
      <c r="H74" s="11">
        <v>46300</v>
      </c>
      <c r="I74" s="23">
        <f t="shared" si="349"/>
        <v>10.322580645161295</v>
      </c>
      <c r="J74" s="23">
        <f>G74*100/C74-100</f>
        <v>8.349980023971227</v>
      </c>
      <c r="K74" s="23">
        <f t="shared" si="350"/>
        <v>19.329896907216494</v>
      </c>
      <c r="L74" s="8"/>
      <c r="M74" s="20">
        <v>172</v>
      </c>
      <c r="N74" s="10">
        <v>313.2</v>
      </c>
      <c r="O74" s="11">
        <v>53900</v>
      </c>
      <c r="P74" s="23">
        <f t="shared" si="351"/>
        <v>0.5847953216374293</v>
      </c>
      <c r="Q74" s="23">
        <f>N74*100/G74-100</f>
        <v>15.486725663716825</v>
      </c>
      <c r="R74" s="23">
        <f t="shared" si="352"/>
        <v>16.41468682505399</v>
      </c>
      <c r="S74" s="8"/>
      <c r="T74" s="20">
        <v>131</v>
      </c>
      <c r="U74" s="10">
        <v>320.8</v>
      </c>
      <c r="V74" s="11">
        <v>42000</v>
      </c>
      <c r="W74" s="23">
        <f t="shared" si="311"/>
        <v>-23.837209302325576</v>
      </c>
      <c r="X74" s="23">
        <f>U74*100/N74-100</f>
        <v>2.426564495530016</v>
      </c>
      <c r="Y74" s="23">
        <f t="shared" si="312"/>
        <v>-22.077922077922082</v>
      </c>
      <c r="Z74" s="8"/>
      <c r="AA74" s="20">
        <v>120</v>
      </c>
      <c r="AB74" s="10">
        <v>388.1</v>
      </c>
      <c r="AC74" s="11">
        <v>42900</v>
      </c>
      <c r="AD74" s="23">
        <f t="shared" si="313"/>
        <v>-8.396946564885496</v>
      </c>
      <c r="AE74" s="23">
        <f>AB74*100/U74-100</f>
        <v>20.978802992518695</v>
      </c>
      <c r="AF74" s="23">
        <f t="shared" si="314"/>
        <v>2.142857142857139</v>
      </c>
      <c r="AG74" s="8"/>
      <c r="AH74" s="20">
        <v>124</v>
      </c>
      <c r="AI74" s="10">
        <v>397</v>
      </c>
      <c r="AJ74" s="11">
        <v>45700</v>
      </c>
      <c r="AK74" s="23">
        <f t="shared" si="315"/>
        <v>3.3333333333333286</v>
      </c>
      <c r="AL74" s="23">
        <f>AI74*100/AB74-100</f>
        <v>2.293223396031948</v>
      </c>
      <c r="AM74" s="23">
        <f t="shared" si="316"/>
        <v>6.526806526806524</v>
      </c>
      <c r="AN74" s="8"/>
      <c r="AO74" s="20">
        <v>118</v>
      </c>
      <c r="AP74" s="10">
        <v>405.8</v>
      </c>
      <c r="AQ74" s="11">
        <v>43600</v>
      </c>
      <c r="AR74" s="23">
        <f t="shared" si="317"/>
        <v>-4.838709677419359</v>
      </c>
      <c r="AS74" s="23">
        <f>AP74*100/AI74-100</f>
        <v>2.216624685138541</v>
      </c>
      <c r="AT74" s="23">
        <f t="shared" si="318"/>
        <v>-4.595185995623638</v>
      </c>
      <c r="AU74" s="8"/>
      <c r="AV74" s="20">
        <v>108</v>
      </c>
      <c r="AW74" s="10">
        <v>407.7</v>
      </c>
      <c r="AX74" s="11">
        <v>40837</v>
      </c>
      <c r="AY74" s="23">
        <f t="shared" si="319"/>
        <v>-8.474576271186436</v>
      </c>
      <c r="AZ74" s="23">
        <f>AW74*100/AP74-100</f>
        <v>0.46821094135042074</v>
      </c>
      <c r="BA74" s="23">
        <f t="shared" si="320"/>
        <v>-6.337155963302749</v>
      </c>
      <c r="BB74" s="8"/>
      <c r="BC74" s="20">
        <v>109</v>
      </c>
      <c r="BD74" s="10">
        <v>505.4</v>
      </c>
      <c r="BE74" s="11">
        <v>54605</v>
      </c>
      <c r="BF74" s="23">
        <f t="shared" si="321"/>
        <v>0.9259259259259238</v>
      </c>
      <c r="BG74" s="23">
        <f>BD74*100/AW74-100</f>
        <v>23.963698798135894</v>
      </c>
      <c r="BH74" s="23">
        <f t="shared" si="322"/>
        <v>33.714523593799754</v>
      </c>
      <c r="BI74" s="8"/>
      <c r="BJ74" s="20">
        <v>107</v>
      </c>
      <c r="BK74" s="10">
        <v>492.71</v>
      </c>
      <c r="BL74" s="11">
        <v>52220</v>
      </c>
      <c r="BM74" s="23">
        <f t="shared" si="353"/>
        <v>-1.8348623853211024</v>
      </c>
      <c r="BN74" s="23">
        <f>BK74*100/BD74-100</f>
        <v>-2.5108824693312215</v>
      </c>
      <c r="BO74" s="23">
        <f t="shared" si="323"/>
        <v>-4.367731892683821</v>
      </c>
      <c r="BP74" s="8"/>
      <c r="BQ74" s="20">
        <v>98</v>
      </c>
      <c r="BR74" s="10">
        <v>506.8</v>
      </c>
      <c r="BS74" s="11">
        <v>49251</v>
      </c>
      <c r="BT74" s="23">
        <f t="shared" si="354"/>
        <v>-8.411214953271028</v>
      </c>
      <c r="BU74" s="23">
        <f>BR74*100/BK74-100</f>
        <v>2.859694343528659</v>
      </c>
      <c r="BV74" s="23">
        <f t="shared" si="324"/>
        <v>-5.685561087705864</v>
      </c>
      <c r="BW74" s="8"/>
      <c r="BX74" s="20">
        <v>153</v>
      </c>
      <c r="BY74" s="10">
        <v>535.7</v>
      </c>
      <c r="BZ74" s="11">
        <v>80756</v>
      </c>
      <c r="CA74" s="23">
        <f t="shared" si="325"/>
        <v>56.12244897959184</v>
      </c>
      <c r="CB74" s="23">
        <f>BY74*100/BR74-100</f>
        <v>5.702446724546178</v>
      </c>
      <c r="CC74" s="23">
        <f t="shared" si="326"/>
        <v>63.96824429960813</v>
      </c>
      <c r="CD74" s="8"/>
      <c r="CE74" s="20">
        <v>103</v>
      </c>
      <c r="CF74" s="10">
        <v>516.2</v>
      </c>
      <c r="CG74" s="11">
        <v>52600</v>
      </c>
      <c r="CH74" s="23">
        <f t="shared" si="327"/>
        <v>-32.6797385620915</v>
      </c>
      <c r="CI74" s="23">
        <f>CF74*100/BY74-100</f>
        <v>-3.6400970692551766</v>
      </c>
      <c r="CJ74" s="23">
        <f t="shared" si="328"/>
        <v>-34.86552082817376</v>
      </c>
      <c r="CK74" s="8"/>
      <c r="CL74" s="20">
        <v>99</v>
      </c>
      <c r="CM74" s="10">
        <v>485.7</v>
      </c>
      <c r="CN74" s="11">
        <v>47508</v>
      </c>
      <c r="CO74" s="23">
        <f t="shared" si="329"/>
        <v>-3.8834951456310733</v>
      </c>
      <c r="CP74" s="23">
        <f>CM74*100/CF74-100</f>
        <v>-5.908562572646275</v>
      </c>
      <c r="CQ74" s="23">
        <f t="shared" si="330"/>
        <v>-9.680608365019012</v>
      </c>
      <c r="CR74" s="8"/>
      <c r="CS74" s="20">
        <v>101</v>
      </c>
      <c r="CT74" s="10">
        <v>478</v>
      </c>
      <c r="CU74" s="11">
        <v>47642</v>
      </c>
      <c r="CV74" s="23">
        <f t="shared" si="331"/>
        <v>2.0202020202020208</v>
      </c>
      <c r="CW74" s="23">
        <f>CT74*100/CM74-100</f>
        <v>-1.5853407453160315</v>
      </c>
      <c r="CX74" s="23">
        <f t="shared" si="332"/>
        <v>0.28205775869327</v>
      </c>
      <c r="CY74" s="8"/>
      <c r="CZ74" s="20">
        <v>86</v>
      </c>
      <c r="DA74" s="10">
        <v>491.9</v>
      </c>
      <c r="DB74" s="11">
        <v>41770</v>
      </c>
      <c r="DC74" s="23">
        <f t="shared" si="333"/>
        <v>-14.851485148514854</v>
      </c>
      <c r="DD74" s="23">
        <f>DA74*100/CT74-100</f>
        <v>2.907949790794973</v>
      </c>
      <c r="DE74" s="23">
        <f t="shared" si="334"/>
        <v>-12.325259225053529</v>
      </c>
      <c r="DF74" s="8"/>
      <c r="DG74" s="20">
        <v>93</v>
      </c>
      <c r="DH74" s="10">
        <v>459.5</v>
      </c>
      <c r="DI74" s="11">
        <v>42200</v>
      </c>
      <c r="DJ74" s="23">
        <f t="shared" si="335"/>
        <v>8.139534883720927</v>
      </c>
      <c r="DK74" s="23">
        <f>DH74*100/DA74-100</f>
        <v>-6.5867046147591</v>
      </c>
      <c r="DL74" s="23">
        <f t="shared" si="336"/>
        <v>1.0294469715106516</v>
      </c>
      <c r="DM74" s="8"/>
      <c r="DN74" s="20">
        <v>83</v>
      </c>
      <c r="DO74" s="10">
        <v>445.2</v>
      </c>
      <c r="DP74" s="11">
        <v>36950</v>
      </c>
      <c r="DQ74" s="23">
        <f t="shared" si="337"/>
        <v>-10.752688172043008</v>
      </c>
      <c r="DR74" s="23">
        <f>DO74*100/DH74-100</f>
        <v>-3.112078346028298</v>
      </c>
      <c r="DS74" s="23">
        <f t="shared" si="338"/>
        <v>-12.440758293838869</v>
      </c>
      <c r="DT74" s="8"/>
      <c r="DU74" s="20">
        <v>85</v>
      </c>
      <c r="DV74" s="10">
        <v>425.8</v>
      </c>
      <c r="DW74" s="11">
        <v>36190</v>
      </c>
      <c r="DX74" s="23">
        <f t="shared" si="339"/>
        <v>2.409638554216869</v>
      </c>
      <c r="DY74" s="23">
        <f>DV74*100/DO74-100</f>
        <v>-4.357592093441141</v>
      </c>
      <c r="DZ74" s="23">
        <f t="shared" si="340"/>
        <v>-2.0568335588633317</v>
      </c>
      <c r="EA74" s="8"/>
      <c r="EB74" s="20">
        <v>83</v>
      </c>
      <c r="EC74" s="10">
        <v>434.8</v>
      </c>
      <c r="ED74" s="11">
        <v>36090</v>
      </c>
      <c r="EE74" s="23">
        <f t="shared" si="341"/>
        <v>-2.352941176470594</v>
      </c>
      <c r="EF74" s="23">
        <f>EC74*100/DV74-100</f>
        <v>2.113668388914988</v>
      </c>
      <c r="EG74" s="23">
        <f t="shared" si="342"/>
        <v>-0.2763194252555934</v>
      </c>
      <c r="EH74" s="8"/>
      <c r="EI74" s="20">
        <v>81</v>
      </c>
      <c r="EJ74" s="10">
        <v>422.6</v>
      </c>
      <c r="EK74" s="11">
        <v>34230</v>
      </c>
      <c r="EL74" s="23">
        <f t="shared" si="343"/>
        <v>-2.409638554216869</v>
      </c>
      <c r="EM74" s="23">
        <f>EJ74*100/EC74-100</f>
        <v>-2.8058877644894267</v>
      </c>
      <c r="EN74" s="23">
        <f t="shared" si="344"/>
        <v>-5.153782211138818</v>
      </c>
      <c r="EO74" s="8"/>
      <c r="EP74" s="20">
        <v>88</v>
      </c>
      <c r="EQ74" s="10">
        <v>416.4</v>
      </c>
      <c r="ER74" s="11">
        <v>36640</v>
      </c>
      <c r="ES74" s="23">
        <f t="shared" si="345"/>
        <v>8.641975308641975</v>
      </c>
      <c r="ET74" s="23">
        <f>EQ74*100/EJ74-100</f>
        <v>-1.4671083767155721</v>
      </c>
      <c r="EU74" s="23">
        <f t="shared" si="346"/>
        <v>7.0406076541045906</v>
      </c>
      <c r="EV74" s="8"/>
      <c r="EW74" s="20">
        <v>92</v>
      </c>
      <c r="EX74" s="10">
        <f t="shared" si="265"/>
        <v>395.2173913043478</v>
      </c>
      <c r="EY74" s="11">
        <v>36360</v>
      </c>
      <c r="EZ74" s="11">
        <v>36360</v>
      </c>
      <c r="FA74" s="23">
        <f t="shared" si="198"/>
        <v>4.545454545454547</v>
      </c>
      <c r="FB74" s="23">
        <f>EX74*100/EQ74-100</f>
        <v>-5.087081819320872</v>
      </c>
      <c r="FC74" s="23">
        <f t="shared" si="199"/>
        <v>-0.764192139737986</v>
      </c>
      <c r="FD74" s="8"/>
      <c r="FE74" s="20">
        <v>89</v>
      </c>
      <c r="FF74" s="10">
        <f t="shared" si="229"/>
        <v>415.44943820224717</v>
      </c>
      <c r="FG74" s="11">
        <v>36975</v>
      </c>
      <c r="FH74" s="11">
        <v>36975</v>
      </c>
      <c r="FI74" s="23">
        <f t="shared" si="266"/>
        <v>-3.2608695652173907</v>
      </c>
      <c r="FJ74" s="23">
        <f t="shared" si="271"/>
        <v>5.119219787147259</v>
      </c>
      <c r="FK74" s="23">
        <f t="shared" si="271"/>
        <v>1.6914191419141957</v>
      </c>
      <c r="FL74" s="23">
        <f t="shared" si="267"/>
        <v>1.6914191419141957</v>
      </c>
      <c r="FM74" s="23"/>
      <c r="FN74" s="20">
        <v>96</v>
      </c>
      <c r="FO74" s="10">
        <f t="shared" si="220"/>
        <v>419.375</v>
      </c>
      <c r="FP74" s="11">
        <v>40260</v>
      </c>
      <c r="FQ74" s="11">
        <v>39940</v>
      </c>
      <c r="FR74" s="23">
        <f>FN74*100/FE74-100</f>
        <v>7.865168539325836</v>
      </c>
      <c r="FS74" s="23">
        <f>FO74*100/FF74-100</f>
        <v>0.9448951994590971</v>
      </c>
      <c r="FT74" s="23">
        <f t="shared" si="53"/>
        <v>8.884381338742386</v>
      </c>
      <c r="FU74" s="23">
        <f t="shared" si="53"/>
        <v>8.018931710615277</v>
      </c>
      <c r="FV74" s="23"/>
      <c r="FW74" s="20">
        <v>116</v>
      </c>
      <c r="FX74" s="10">
        <f>FY74/FW74</f>
        <v>430.6896551724138</v>
      </c>
      <c r="FY74" s="20">
        <v>49960</v>
      </c>
      <c r="FZ74" s="20">
        <v>49960</v>
      </c>
      <c r="GA74" s="23">
        <f aca="true" t="shared" si="355" ref="GA74:GD75">FW74*100/FN74-100</f>
        <v>20.83333333333333</v>
      </c>
      <c r="GB74" s="23">
        <f t="shared" si="355"/>
        <v>2.6979803689809216</v>
      </c>
      <c r="GC74" s="23">
        <f t="shared" si="355"/>
        <v>24.09339294585196</v>
      </c>
      <c r="GD74" s="23">
        <f t="shared" si="355"/>
        <v>25.08763144717075</v>
      </c>
      <c r="GE74" s="23"/>
      <c r="GF74" s="20">
        <v>125</v>
      </c>
      <c r="GG74" s="10">
        <f>GH74/GF74</f>
        <v>402.24</v>
      </c>
      <c r="GH74" s="20">
        <v>50280</v>
      </c>
      <c r="GI74" s="20">
        <v>50280</v>
      </c>
      <c r="GJ74" s="23">
        <f t="shared" si="300"/>
        <v>7.758620689655174</v>
      </c>
      <c r="GK74" s="23">
        <f t="shared" si="300"/>
        <v>-6.605604483586873</v>
      </c>
      <c r="GL74" s="23">
        <f t="shared" si="57"/>
        <v>0.6405124099279362</v>
      </c>
      <c r="GM74" s="23">
        <f t="shared" si="57"/>
        <v>0.6405124099279362</v>
      </c>
      <c r="GN74" s="23"/>
      <c r="GO74" s="20">
        <v>104</v>
      </c>
      <c r="GP74" s="10">
        <f>GQ74/GO74</f>
        <v>424.61538461538464</v>
      </c>
      <c r="GQ74" s="20">
        <v>44160</v>
      </c>
      <c r="GR74" s="20">
        <v>44160</v>
      </c>
      <c r="GS74" s="23">
        <f t="shared" si="301"/>
        <v>-16.799999999999997</v>
      </c>
      <c r="GT74" s="23">
        <f t="shared" si="301"/>
        <v>5.562695061501742</v>
      </c>
      <c r="GU74" s="23">
        <f t="shared" si="59"/>
        <v>-12.171837708830552</v>
      </c>
      <c r="GV74" s="23">
        <f t="shared" si="60"/>
        <v>-12.171837708830552</v>
      </c>
      <c r="GW74" s="23"/>
      <c r="GX74" s="20">
        <v>115</v>
      </c>
      <c r="GY74" s="10">
        <f>GZ74/GX74</f>
        <v>424.4347826086956</v>
      </c>
      <c r="GZ74" s="20">
        <v>48810</v>
      </c>
      <c r="HA74" s="20">
        <v>48810</v>
      </c>
      <c r="HB74" s="23">
        <f t="shared" si="302"/>
        <v>10.57692307692308</v>
      </c>
      <c r="HC74" s="23">
        <f>GY74*100/GP74-100</f>
        <v>-0.04253308128545541</v>
      </c>
      <c r="HD74" s="23">
        <f t="shared" si="62"/>
        <v>10.529891304347828</v>
      </c>
      <c r="HE74" s="23">
        <f t="shared" si="63"/>
        <v>10.529891304347828</v>
      </c>
      <c r="HF74" s="23"/>
      <c r="HG74" s="20">
        <v>115</v>
      </c>
      <c r="HH74" s="10">
        <f>HI74/HG74</f>
        <v>425.04347826086956</v>
      </c>
      <c r="HI74" s="20">
        <v>48880</v>
      </c>
      <c r="HJ74" s="20">
        <v>48880</v>
      </c>
      <c r="HK74" s="23">
        <f t="shared" si="304"/>
        <v>0</v>
      </c>
      <c r="HL74" s="23">
        <f>HH74*100/GY74-100</f>
        <v>0.14341323499284897</v>
      </c>
      <c r="HM74" s="23">
        <f t="shared" si="105"/>
        <v>0.14341323499283476</v>
      </c>
      <c r="HN74" s="23">
        <f t="shared" si="106"/>
        <v>0.14341323499283476</v>
      </c>
      <c r="HO74" s="23"/>
      <c r="HP74" s="20">
        <v>113</v>
      </c>
      <c r="HQ74" s="10">
        <f>HR74/HP74</f>
        <v>417.78761061946904</v>
      </c>
      <c r="HR74" s="20">
        <v>47210</v>
      </c>
      <c r="HS74" s="20">
        <v>47210</v>
      </c>
      <c r="HT74" s="23">
        <f t="shared" si="306"/>
        <v>-1.7391304347826093</v>
      </c>
      <c r="HU74" s="23">
        <f>HQ74*100/HH74-100</f>
        <v>-1.7070883362542162</v>
      </c>
      <c r="HV74" s="23">
        <f t="shared" si="64"/>
        <v>-3.4165302782324005</v>
      </c>
      <c r="HW74" s="23">
        <f t="shared" si="65"/>
        <v>-3.4165302782324005</v>
      </c>
      <c r="HX74" s="23"/>
      <c r="HY74" s="20">
        <v>102</v>
      </c>
      <c r="HZ74" s="10">
        <f>IA74/HY74</f>
        <v>423.2352941176471</v>
      </c>
      <c r="IA74" s="20">
        <v>43170</v>
      </c>
      <c r="IB74" s="20">
        <v>43170</v>
      </c>
      <c r="IC74" s="23">
        <f t="shared" si="308"/>
        <v>-9.73451327433628</v>
      </c>
      <c r="ID74" s="23">
        <f>HZ74*100/HQ74-100</f>
        <v>1.3039361052618403</v>
      </c>
      <c r="IE74" s="23">
        <f t="shared" si="309"/>
        <v>-8.557509002330008</v>
      </c>
      <c r="IF74" s="23">
        <f t="shared" si="310"/>
        <v>-8.557509002330008</v>
      </c>
      <c r="IG74" s="23"/>
      <c r="IH74" s="1" t="s">
        <v>71</v>
      </c>
      <c r="II74" s="29">
        <f t="shared" si="223"/>
        <v>102.1</v>
      </c>
      <c r="IJ74" s="30">
        <f t="shared" si="224"/>
        <v>417.6065130163958</v>
      </c>
      <c r="IK74" s="29">
        <f t="shared" si="225"/>
        <v>42623.5</v>
      </c>
      <c r="IL74" s="25">
        <f t="shared" si="226"/>
        <v>10.67580803134183</v>
      </c>
      <c r="IM74" s="25">
        <f t="shared" si="227"/>
        <v>0.043365607917650095</v>
      </c>
      <c r="IN74" s="25">
        <f t="shared" si="228"/>
        <v>10.760495970532688</v>
      </c>
      <c r="IP74" s="30">
        <f>HP74*100/Italia!BR74</f>
        <v>1.3328615239443264</v>
      </c>
      <c r="IQ74" s="30">
        <f>HR74*100/Italia!BT74</f>
        <v>1.9877936585129652</v>
      </c>
      <c r="IR74" s="30">
        <f>HS74*100/Italia!BU74</f>
        <v>2.1469698892134432</v>
      </c>
    </row>
    <row r="75" spans="1:252" ht="12">
      <c r="A75" s="1" t="s">
        <v>72</v>
      </c>
      <c r="B75" s="22">
        <v>27</v>
      </c>
      <c r="C75" s="10">
        <v>500.7</v>
      </c>
      <c r="D75" s="11">
        <v>13445</v>
      </c>
      <c r="E75" s="9"/>
      <c r="F75" s="22">
        <v>31.1</v>
      </c>
      <c r="G75" s="10">
        <v>487.2</v>
      </c>
      <c r="H75" s="11">
        <v>15146</v>
      </c>
      <c r="I75" s="23">
        <f t="shared" si="349"/>
        <v>15.18518518518519</v>
      </c>
      <c r="J75" s="23">
        <f>G75*100/C75-100</f>
        <v>-2.696225284601553</v>
      </c>
      <c r="K75" s="23">
        <f t="shared" si="350"/>
        <v>12.651543324656004</v>
      </c>
      <c r="L75" s="8"/>
      <c r="M75" s="22">
        <v>26.4</v>
      </c>
      <c r="N75" s="10">
        <f>13393/M75</f>
        <v>507.31060606060606</v>
      </c>
      <c r="O75" s="11">
        <v>13388</v>
      </c>
      <c r="P75" s="23">
        <f t="shared" si="351"/>
        <v>-15.112540192926048</v>
      </c>
      <c r="Q75" s="23">
        <f>N75*100/G75-100</f>
        <v>4.127792705378923</v>
      </c>
      <c r="R75" s="23">
        <f t="shared" si="352"/>
        <v>-11.607024957084377</v>
      </c>
      <c r="S75" s="8"/>
      <c r="T75" s="22">
        <v>39.85</v>
      </c>
      <c r="U75" s="10">
        <f>29145/T75</f>
        <v>731.3676286072773</v>
      </c>
      <c r="V75" s="11">
        <v>29060</v>
      </c>
      <c r="W75" s="23">
        <f t="shared" si="311"/>
        <v>50.94696969696972</v>
      </c>
      <c r="X75" s="23">
        <f>U75*100/N75-100</f>
        <v>44.16564918414187</v>
      </c>
      <c r="Y75" s="23">
        <f t="shared" si="312"/>
        <v>117.06005377950405</v>
      </c>
      <c r="Z75" s="8"/>
      <c r="AA75" s="22">
        <v>52.1</v>
      </c>
      <c r="AB75" s="10">
        <f>AC75/AA75</f>
        <v>659.9616122840691</v>
      </c>
      <c r="AC75" s="11">
        <v>34384</v>
      </c>
      <c r="AD75" s="23">
        <f t="shared" si="313"/>
        <v>30.74027603513173</v>
      </c>
      <c r="AE75" s="23">
        <f>AB75*100/U75-100</f>
        <v>-9.763354779481375</v>
      </c>
      <c r="AF75" s="23">
        <f t="shared" si="314"/>
        <v>18.32071576049553</v>
      </c>
      <c r="AG75" s="8"/>
      <c r="AH75" s="22">
        <v>54.3</v>
      </c>
      <c r="AI75" s="10">
        <f>AJ75/AH75</f>
        <v>660.3499079189687</v>
      </c>
      <c r="AJ75" s="11">
        <v>35857</v>
      </c>
      <c r="AK75" s="23">
        <f t="shared" si="315"/>
        <v>4.222648752399223</v>
      </c>
      <c r="AL75" s="23">
        <f>AI75*100/AB75-100</f>
        <v>0.058836094050334964</v>
      </c>
      <c r="AM75" s="23">
        <f t="shared" si="316"/>
        <v>4.28396928804095</v>
      </c>
      <c r="AN75" s="8"/>
      <c r="AO75" s="22">
        <v>53.8</v>
      </c>
      <c r="AP75" s="10">
        <f>AQ75/AO75</f>
        <v>632.3977695167287</v>
      </c>
      <c r="AQ75" s="11">
        <v>34023</v>
      </c>
      <c r="AR75" s="23">
        <f t="shared" si="317"/>
        <v>-0.9208103130755063</v>
      </c>
      <c r="AS75" s="23">
        <f>AP75*100/AI75-100</f>
        <v>-4.23292834102584</v>
      </c>
      <c r="AT75" s="23">
        <f t="shared" si="318"/>
        <v>-5.114761413392088</v>
      </c>
      <c r="AU75" s="8"/>
      <c r="AV75" s="22">
        <v>54.4</v>
      </c>
      <c r="AW75" s="10">
        <f>30539/AV75</f>
        <v>561.3786764705883</v>
      </c>
      <c r="AX75" s="11">
        <v>30030</v>
      </c>
      <c r="AY75" s="23">
        <f t="shared" si="319"/>
        <v>1.1152416356877382</v>
      </c>
      <c r="AZ75" s="23">
        <f>AW75*100/AP75-100</f>
        <v>-11.23013022332644</v>
      </c>
      <c r="BA75" s="23">
        <f t="shared" si="320"/>
        <v>-11.736178467507273</v>
      </c>
      <c r="BB75" s="8"/>
      <c r="BC75" s="22">
        <v>54.4</v>
      </c>
      <c r="BD75" s="10">
        <f>34199/BC75</f>
        <v>628.6580882352941</v>
      </c>
      <c r="BE75" s="11">
        <v>33695</v>
      </c>
      <c r="BF75" s="23">
        <f t="shared" si="321"/>
        <v>0</v>
      </c>
      <c r="BG75" s="23">
        <f>BD75*100/AW75-100</f>
        <v>11.984675333180519</v>
      </c>
      <c r="BH75" s="23">
        <f t="shared" si="322"/>
        <v>12.204462204462203</v>
      </c>
      <c r="BI75" s="8"/>
      <c r="BJ75" s="22">
        <v>55.45</v>
      </c>
      <c r="BK75" s="10">
        <f>34596/BJ75</f>
        <v>623.9134355275022</v>
      </c>
      <c r="BL75" s="11">
        <v>34066</v>
      </c>
      <c r="BM75" s="23">
        <f t="shared" si="353"/>
        <v>1.930147058823536</v>
      </c>
      <c r="BN75" s="23">
        <f>BK75*100/BD75-100</f>
        <v>-0.7547270601593112</v>
      </c>
      <c r="BO75" s="23">
        <f t="shared" si="323"/>
        <v>1.1010535687787524</v>
      </c>
      <c r="BP75" s="8"/>
      <c r="BQ75" s="22">
        <v>53.9</v>
      </c>
      <c r="BR75" s="10">
        <f>33875/BQ75</f>
        <v>628.47866419295</v>
      </c>
      <c r="BS75" s="11">
        <v>33385</v>
      </c>
      <c r="BT75" s="23">
        <f t="shared" si="354"/>
        <v>-2.795311091073046</v>
      </c>
      <c r="BU75" s="23">
        <f>BR75*100/BK75-100</f>
        <v>0.7317086642937767</v>
      </c>
      <c r="BV75" s="23">
        <f t="shared" si="324"/>
        <v>-1.9990606469793875</v>
      </c>
      <c r="BW75" s="8"/>
      <c r="BX75" s="22">
        <v>46</v>
      </c>
      <c r="BY75" s="10">
        <v>620.1</v>
      </c>
      <c r="BZ75" s="11">
        <v>27732</v>
      </c>
      <c r="CA75" s="23">
        <f t="shared" si="325"/>
        <v>-14.656771799628942</v>
      </c>
      <c r="CB75" s="23">
        <f>BY75*100/BR75-100</f>
        <v>-1.3331660516605268</v>
      </c>
      <c r="CC75" s="23">
        <f t="shared" si="326"/>
        <v>-16.932754230942038</v>
      </c>
      <c r="CD75" s="8"/>
      <c r="CE75" s="22">
        <v>59.6</v>
      </c>
      <c r="CF75" s="10">
        <f>37595/CE75</f>
        <v>630.7885906040268</v>
      </c>
      <c r="CG75" s="11">
        <v>37101</v>
      </c>
      <c r="CH75" s="23">
        <f t="shared" si="327"/>
        <v>29.565217391304344</v>
      </c>
      <c r="CI75" s="23">
        <f>CF75*100/BY75-100</f>
        <v>1.7236882122281543</v>
      </c>
      <c r="CJ75" s="23">
        <f t="shared" si="328"/>
        <v>33.78407615750757</v>
      </c>
      <c r="CK75" s="8"/>
      <c r="CL75" s="22">
        <v>54.6</v>
      </c>
      <c r="CM75" s="10">
        <v>610</v>
      </c>
      <c r="CN75" s="11">
        <v>32985</v>
      </c>
      <c r="CO75" s="23">
        <f t="shared" si="329"/>
        <v>-8.389261744966447</v>
      </c>
      <c r="CP75" s="23">
        <f>CM75*100/CF75-100</f>
        <v>-3.2956510174225286</v>
      </c>
      <c r="CQ75" s="23">
        <f t="shared" si="330"/>
        <v>-11.094040591897794</v>
      </c>
      <c r="CR75" s="8"/>
      <c r="CS75" s="22">
        <v>55.6</v>
      </c>
      <c r="CT75" s="10">
        <f>34155/CS75</f>
        <v>614.2985611510791</v>
      </c>
      <c r="CU75" s="11">
        <v>33775</v>
      </c>
      <c r="CV75" s="23">
        <f t="shared" si="331"/>
        <v>1.831501831501825</v>
      </c>
      <c r="CW75" s="23">
        <f>CT75*100/CM75-100</f>
        <v>0.7046821559145968</v>
      </c>
      <c r="CX75" s="23">
        <f t="shared" si="332"/>
        <v>2.3950280430498765</v>
      </c>
      <c r="CY75" s="8"/>
      <c r="CZ75" s="22">
        <v>53.9</v>
      </c>
      <c r="DA75" s="10">
        <f>35475/CZ75</f>
        <v>658.1632653061224</v>
      </c>
      <c r="DB75" s="11">
        <v>35170</v>
      </c>
      <c r="DC75" s="23">
        <f t="shared" si="333"/>
        <v>-3.057553956834539</v>
      </c>
      <c r="DD75" s="23">
        <f>DA75*100/CT75-100</f>
        <v>7.140616457386656</v>
      </c>
      <c r="DE75" s="23">
        <f t="shared" si="334"/>
        <v>4.130273871206512</v>
      </c>
      <c r="DF75" s="8"/>
      <c r="DG75" s="22">
        <v>52.9</v>
      </c>
      <c r="DH75" s="10">
        <f>31905/DG75</f>
        <v>603.1190926275992</v>
      </c>
      <c r="DI75" s="11">
        <v>31600</v>
      </c>
      <c r="DJ75" s="23">
        <f t="shared" si="335"/>
        <v>-1.855287569573278</v>
      </c>
      <c r="DK75" s="23">
        <f>DH75*100/DA75-100</f>
        <v>-8.363300655031424</v>
      </c>
      <c r="DL75" s="23">
        <f t="shared" si="336"/>
        <v>-10.150696616434459</v>
      </c>
      <c r="DM75" s="8"/>
      <c r="DN75" s="22">
        <v>55.1</v>
      </c>
      <c r="DO75" s="10">
        <f>34470/DN75</f>
        <v>625.589836660617</v>
      </c>
      <c r="DP75" s="11">
        <v>34280</v>
      </c>
      <c r="DQ75" s="23">
        <f t="shared" si="337"/>
        <v>4.158790170132335</v>
      </c>
      <c r="DR75" s="23">
        <f>DO75*100/DH75-100</f>
        <v>3.7257557102229697</v>
      </c>
      <c r="DS75" s="23">
        <f t="shared" si="338"/>
        <v>8.481012658227854</v>
      </c>
      <c r="DT75" s="8"/>
      <c r="DU75" s="22">
        <v>42.9</v>
      </c>
      <c r="DV75" s="10">
        <f>32211/DU75</f>
        <v>750.8391608391609</v>
      </c>
      <c r="DW75" s="11">
        <v>32021</v>
      </c>
      <c r="DX75" s="23">
        <f t="shared" si="339"/>
        <v>-22.1415607985481</v>
      </c>
      <c r="DY75" s="23">
        <f>DV75*100/DO75-100</f>
        <v>20.020997279482927</v>
      </c>
      <c r="DZ75" s="23">
        <f t="shared" si="340"/>
        <v>-6.589848308051344</v>
      </c>
      <c r="EA75" s="8"/>
      <c r="EB75" s="22">
        <v>42.1</v>
      </c>
      <c r="EC75" s="10">
        <f>33755/EB75</f>
        <v>801.7814726840854</v>
      </c>
      <c r="ED75" s="11">
        <v>33565</v>
      </c>
      <c r="EE75" s="23">
        <f t="shared" si="341"/>
        <v>-1.864801864801862</v>
      </c>
      <c r="EF75" s="23">
        <f>EC75*100/DV75-100</f>
        <v>6.784716954292833</v>
      </c>
      <c r="EG75" s="23">
        <f t="shared" si="342"/>
        <v>4.821835670341343</v>
      </c>
      <c r="EH75" s="8"/>
      <c r="EI75" s="22">
        <v>42.3</v>
      </c>
      <c r="EJ75" s="10">
        <f>33379/EI75</f>
        <v>789.1016548463358</v>
      </c>
      <c r="EK75" s="11">
        <v>33179</v>
      </c>
      <c r="EL75" s="23">
        <f t="shared" si="343"/>
        <v>0.4750593824227991</v>
      </c>
      <c r="EM75" s="23">
        <f>EJ75*100/EC75-100</f>
        <v>-1.5814555798230145</v>
      </c>
      <c r="EN75" s="23">
        <f t="shared" si="344"/>
        <v>-1.1500074482347742</v>
      </c>
      <c r="EO75" s="8"/>
      <c r="EP75" s="22">
        <v>42.75</v>
      </c>
      <c r="EQ75" s="10">
        <f>20474/EP75</f>
        <v>478.92397660818716</v>
      </c>
      <c r="ER75" s="11">
        <v>20209</v>
      </c>
      <c r="ES75" s="23">
        <f t="shared" si="345"/>
        <v>1.0638297872340559</v>
      </c>
      <c r="ET75" s="23">
        <f>EQ75*100/EJ75-100</f>
        <v>-39.30769582514062</v>
      </c>
      <c r="EU75" s="23">
        <f t="shared" si="346"/>
        <v>-39.09099128967118</v>
      </c>
      <c r="EV75" s="8"/>
      <c r="EW75" s="22">
        <v>41.58</v>
      </c>
      <c r="EX75" s="10">
        <f t="shared" si="265"/>
        <v>477.5853775853776</v>
      </c>
      <c r="EY75" s="11">
        <v>19858</v>
      </c>
      <c r="EZ75" s="11">
        <v>19569</v>
      </c>
      <c r="FA75" s="23">
        <f t="shared" si="198"/>
        <v>-2.7368421052631646</v>
      </c>
      <c r="FB75" s="23">
        <f>EX75*100/EQ75-100</f>
        <v>-0.2795013589191484</v>
      </c>
      <c r="FC75" s="23">
        <f t="shared" si="199"/>
        <v>-3.1669058340343383</v>
      </c>
      <c r="FD75" s="8"/>
      <c r="FE75" s="22">
        <v>40.85</v>
      </c>
      <c r="FF75" s="10">
        <f t="shared" si="229"/>
        <v>449.6940024479804</v>
      </c>
      <c r="FG75" s="11">
        <v>18370</v>
      </c>
      <c r="FH75" s="11">
        <v>18140</v>
      </c>
      <c r="FI75" s="23">
        <f t="shared" si="266"/>
        <v>-1.7556517556517548</v>
      </c>
      <c r="FJ75" s="23">
        <f t="shared" si="271"/>
        <v>-5.840081469498315</v>
      </c>
      <c r="FK75" s="23">
        <f t="shared" si="271"/>
        <v>-7.493201732299326</v>
      </c>
      <c r="FL75" s="23">
        <f t="shared" si="267"/>
        <v>-7.302365987020281</v>
      </c>
      <c r="FM75" s="23"/>
      <c r="FN75" s="22">
        <v>38.07</v>
      </c>
      <c r="FO75" s="10">
        <f t="shared" si="220"/>
        <v>460.41502495403205</v>
      </c>
      <c r="FP75" s="11">
        <v>17528</v>
      </c>
      <c r="FQ75" s="11">
        <v>17378</v>
      </c>
      <c r="FR75" s="23">
        <f>FN75*100/FE75-100</f>
        <v>-6.805385556915553</v>
      </c>
      <c r="FS75" s="23">
        <f>FO75*100/FF75-100</f>
        <v>2.3840706008285792</v>
      </c>
      <c r="FT75" s="23">
        <f t="shared" si="53"/>
        <v>-4.583560152422422</v>
      </c>
      <c r="FU75" s="23">
        <f t="shared" si="53"/>
        <v>-4.200661521499455</v>
      </c>
      <c r="FV75" s="23"/>
      <c r="FW75" s="22">
        <v>38.15</v>
      </c>
      <c r="FX75" s="10">
        <f>FY75/FW75</f>
        <v>436.17300131061603</v>
      </c>
      <c r="FY75" s="20">
        <v>16640</v>
      </c>
      <c r="FZ75" s="20">
        <v>16488</v>
      </c>
      <c r="GA75" s="23">
        <f t="shared" si="355"/>
        <v>0.21013921723141493</v>
      </c>
      <c r="GB75" s="23">
        <f t="shared" si="355"/>
        <v>-5.26525467882729</v>
      </c>
      <c r="GC75" s="23">
        <f t="shared" si="355"/>
        <v>-5.066179826563214</v>
      </c>
      <c r="GD75" s="23">
        <f t="shared" si="355"/>
        <v>-5.121417884681776</v>
      </c>
      <c r="GE75" s="23"/>
      <c r="GF75" s="22">
        <v>41.26</v>
      </c>
      <c r="GG75" s="10">
        <f>GH75/GF75</f>
        <v>426.70867668444015</v>
      </c>
      <c r="GH75" s="20">
        <v>17606</v>
      </c>
      <c r="GI75" s="20">
        <v>17456</v>
      </c>
      <c r="GJ75" s="23">
        <f t="shared" si="300"/>
        <v>8.152031454783753</v>
      </c>
      <c r="GK75" s="23">
        <f t="shared" si="300"/>
        <v>-2.1698556760132846</v>
      </c>
      <c r="GL75" s="23">
        <f t="shared" si="57"/>
        <v>5.805288461538467</v>
      </c>
      <c r="GM75" s="23">
        <f t="shared" si="57"/>
        <v>5.870936438622024</v>
      </c>
      <c r="GN75" s="23"/>
      <c r="GO75" s="22">
        <v>38.56</v>
      </c>
      <c r="GP75" s="10">
        <f>GQ75/GO75</f>
        <v>360.37344398340247</v>
      </c>
      <c r="GQ75" s="20">
        <v>13896</v>
      </c>
      <c r="GR75" s="20">
        <v>13746</v>
      </c>
      <c r="GS75" s="23">
        <f t="shared" si="301"/>
        <v>-6.543868153174984</v>
      </c>
      <c r="GT75" s="23">
        <f t="shared" si="301"/>
        <v>-15.545789510648731</v>
      </c>
      <c r="GU75" s="23">
        <f t="shared" si="59"/>
        <v>-21.072361694876747</v>
      </c>
      <c r="GV75" s="23">
        <f t="shared" si="60"/>
        <v>-21.253437213565533</v>
      </c>
      <c r="GW75" s="23"/>
      <c r="GX75" s="22">
        <v>29.9</v>
      </c>
      <c r="GY75" s="10">
        <f>GZ75/GX75</f>
        <v>354.18060200668896</v>
      </c>
      <c r="GZ75" s="20">
        <v>10590</v>
      </c>
      <c r="HA75" s="20">
        <v>10440</v>
      </c>
      <c r="HB75" s="23">
        <f t="shared" si="302"/>
        <v>-22.458506224066397</v>
      </c>
      <c r="HC75" s="23">
        <f>GY75*100/GP75-100</f>
        <v>-1.7184512566355323</v>
      </c>
      <c r="HD75" s="23">
        <f t="shared" si="62"/>
        <v>-23.79101899827289</v>
      </c>
      <c r="HE75" s="23">
        <f t="shared" si="63"/>
        <v>-24.0506329113924</v>
      </c>
      <c r="HF75" s="23"/>
      <c r="HG75" s="22">
        <v>30.1</v>
      </c>
      <c r="HH75" s="10">
        <f>HI75/HG75</f>
        <v>356.4784053156146</v>
      </c>
      <c r="HI75" s="20">
        <v>10730</v>
      </c>
      <c r="HJ75" s="20">
        <v>10540</v>
      </c>
      <c r="HK75" s="23">
        <f t="shared" si="304"/>
        <v>0.6688963210702354</v>
      </c>
      <c r="HL75" s="23">
        <f>HH75*100/GY75-100</f>
        <v>0.6487659956268033</v>
      </c>
      <c r="HM75" s="23">
        <f t="shared" si="105"/>
        <v>1.3220018885741212</v>
      </c>
      <c r="HN75" s="23">
        <f t="shared" si="106"/>
        <v>0.9578544061302665</v>
      </c>
      <c r="HO75" s="23"/>
      <c r="HP75" s="22">
        <v>41</v>
      </c>
      <c r="HQ75" s="10">
        <f>HR75/HP75</f>
        <v>639.0731707317074</v>
      </c>
      <c r="HR75" s="20">
        <v>26202</v>
      </c>
      <c r="HS75" s="20">
        <v>26012</v>
      </c>
      <c r="HT75" s="23">
        <f t="shared" si="306"/>
        <v>36.21262458471759</v>
      </c>
      <c r="HU75" s="23">
        <f>HQ75*100/HH75-100</f>
        <v>79.2740208669561</v>
      </c>
      <c r="HV75" s="23">
        <f t="shared" si="64"/>
        <v>144.19384902143523</v>
      </c>
      <c r="HW75" s="23">
        <f t="shared" si="65"/>
        <v>146.7931688804554</v>
      </c>
      <c r="HX75" s="23"/>
      <c r="HY75" s="22"/>
      <c r="HZ75" s="10" t="e">
        <f>IA75/HY75</f>
        <v>#DIV/0!</v>
      </c>
      <c r="IA75" s="20"/>
      <c r="IB75" s="20"/>
      <c r="IC75" s="23">
        <f t="shared" si="308"/>
        <v>-100</v>
      </c>
      <c r="ID75" s="23" t="e">
        <f>HZ75*100/HQ75-100</f>
        <v>#DIV/0!</v>
      </c>
      <c r="IE75" s="23">
        <f t="shared" si="309"/>
        <v>-100</v>
      </c>
      <c r="IF75" s="23">
        <f t="shared" si="310"/>
        <v>-100</v>
      </c>
      <c r="IG75" s="23"/>
      <c r="IH75" s="1" t="s">
        <v>72</v>
      </c>
      <c r="II75" s="29">
        <f t="shared" si="223"/>
        <v>38.352</v>
      </c>
      <c r="IJ75" s="30">
        <f t="shared" si="224"/>
        <v>458.96341657426757</v>
      </c>
      <c r="IK75" s="29">
        <f t="shared" si="225"/>
        <v>17714.5</v>
      </c>
      <c r="IL75" s="25">
        <f t="shared" si="226"/>
        <v>6.904463913224873</v>
      </c>
      <c r="IM75" s="25">
        <f t="shared" si="227"/>
        <v>39.24272559712722</v>
      </c>
      <c r="IN75" s="25">
        <f t="shared" si="228"/>
        <v>46.84015919162269</v>
      </c>
      <c r="IP75" s="30">
        <f>HP75*100/Italia!BR75</f>
        <v>2.4554279930768907</v>
      </c>
      <c r="IQ75" s="30">
        <f>HR75*100/Italia!BT75</f>
        <v>3.1860369819589227</v>
      </c>
      <c r="IR75" s="30">
        <f>HS75*100/Italia!BU75</f>
        <v>3.239711499780175</v>
      </c>
    </row>
    <row r="76" spans="1:252" ht="12">
      <c r="A76" s="1" t="s">
        <v>73</v>
      </c>
      <c r="B76" s="19">
        <f>B75+B74</f>
        <v>182</v>
      </c>
      <c r="C76" s="6" t="s">
        <v>1</v>
      </c>
      <c r="D76" s="9">
        <f>D75+D74</f>
        <v>52245</v>
      </c>
      <c r="E76" s="9"/>
      <c r="F76" s="19">
        <f>F74+F75</f>
        <v>202.1</v>
      </c>
      <c r="G76" s="6" t="s">
        <v>1</v>
      </c>
      <c r="H76" s="9">
        <f>H75+H74</f>
        <v>61446</v>
      </c>
      <c r="I76" s="23">
        <f t="shared" si="349"/>
        <v>11.043956043956044</v>
      </c>
      <c r="J76" s="24" t="s">
        <v>1</v>
      </c>
      <c r="K76" s="23">
        <f t="shared" si="350"/>
        <v>17.61125466551823</v>
      </c>
      <c r="L76" s="8"/>
      <c r="M76" s="19">
        <f>M74+M75</f>
        <v>198.4</v>
      </c>
      <c r="N76" s="6" t="s">
        <v>1</v>
      </c>
      <c r="O76" s="9">
        <f>O75+O74</f>
        <v>67288</v>
      </c>
      <c r="P76" s="23">
        <f t="shared" si="351"/>
        <v>-1.8307768431469498</v>
      </c>
      <c r="Q76" s="24" t="s">
        <v>1</v>
      </c>
      <c r="R76" s="23">
        <f t="shared" si="352"/>
        <v>9.507535071444849</v>
      </c>
      <c r="S76" s="8"/>
      <c r="T76" s="19">
        <f>T74+T75</f>
        <v>170.85</v>
      </c>
      <c r="U76" s="6" t="s">
        <v>1</v>
      </c>
      <c r="V76" s="9">
        <f>V75+V74</f>
        <v>71060</v>
      </c>
      <c r="W76" s="23">
        <f t="shared" si="311"/>
        <v>-13.886088709677423</v>
      </c>
      <c r="X76" s="24" t="s">
        <v>1</v>
      </c>
      <c r="Y76" s="23">
        <f t="shared" si="312"/>
        <v>5.60575436927833</v>
      </c>
      <c r="Z76" s="8"/>
      <c r="AA76" s="19">
        <f>AA74+AA75</f>
        <v>172.1</v>
      </c>
      <c r="AB76" s="6" t="s">
        <v>1</v>
      </c>
      <c r="AC76" s="9">
        <f>AC75+AC74</f>
        <v>77284</v>
      </c>
      <c r="AD76" s="23">
        <f t="shared" si="313"/>
        <v>0.7316359379572788</v>
      </c>
      <c r="AE76" s="24" t="s">
        <v>1</v>
      </c>
      <c r="AF76" s="23">
        <f t="shared" si="314"/>
        <v>8.758795384182378</v>
      </c>
      <c r="AG76" s="8"/>
      <c r="AH76" s="19">
        <f>AH74+AH75</f>
        <v>178.3</v>
      </c>
      <c r="AI76" s="6" t="s">
        <v>1</v>
      </c>
      <c r="AJ76" s="9">
        <f>AJ75+AJ74</f>
        <v>81557</v>
      </c>
      <c r="AK76" s="23">
        <f t="shared" si="315"/>
        <v>3.602556653108664</v>
      </c>
      <c r="AL76" s="24" t="s">
        <v>1</v>
      </c>
      <c r="AM76" s="23">
        <f t="shared" si="316"/>
        <v>5.528958128461255</v>
      </c>
      <c r="AN76" s="8"/>
      <c r="AO76" s="19">
        <f>AO74+AO75</f>
        <v>171.8</v>
      </c>
      <c r="AP76" s="6" t="s">
        <v>1</v>
      </c>
      <c r="AQ76" s="9">
        <f>AQ75+AQ74</f>
        <v>77623</v>
      </c>
      <c r="AR76" s="23">
        <f t="shared" si="317"/>
        <v>-3.6455412226584514</v>
      </c>
      <c r="AS76" s="24" t="s">
        <v>1</v>
      </c>
      <c r="AT76" s="23">
        <f t="shared" si="318"/>
        <v>-4.823620290103847</v>
      </c>
      <c r="AU76" s="8"/>
      <c r="AV76" s="19">
        <f>AV74+AV75</f>
        <v>162.4</v>
      </c>
      <c r="AW76" s="6" t="s">
        <v>1</v>
      </c>
      <c r="AX76" s="9">
        <f>AX75+AX74</f>
        <v>70867</v>
      </c>
      <c r="AY76" s="23">
        <f t="shared" si="319"/>
        <v>-5.471478463329461</v>
      </c>
      <c r="AZ76" s="24" t="s">
        <v>1</v>
      </c>
      <c r="BA76" s="23">
        <f t="shared" si="320"/>
        <v>-8.703605890006827</v>
      </c>
      <c r="BB76" s="8"/>
      <c r="BC76" s="19">
        <f>BC74+BC75</f>
        <v>163.4</v>
      </c>
      <c r="BD76" s="6" t="s">
        <v>1</v>
      </c>
      <c r="BE76" s="9">
        <f>BE75+BE74</f>
        <v>88300</v>
      </c>
      <c r="BF76" s="23">
        <f t="shared" si="321"/>
        <v>0.6157635467980214</v>
      </c>
      <c r="BG76" s="24" t="s">
        <v>1</v>
      </c>
      <c r="BH76" s="23">
        <f t="shared" si="322"/>
        <v>24.599602071486018</v>
      </c>
      <c r="BI76" s="8"/>
      <c r="BJ76" s="19">
        <f>BJ74+BJ75</f>
        <v>162.45</v>
      </c>
      <c r="BK76" s="6" t="s">
        <v>1</v>
      </c>
      <c r="BL76" s="9">
        <f>BL75+BL74</f>
        <v>86286</v>
      </c>
      <c r="BM76" s="23">
        <f t="shared" si="353"/>
        <v>-0.5813953488372192</v>
      </c>
      <c r="BN76" s="24" t="s">
        <v>1</v>
      </c>
      <c r="BO76" s="23">
        <f t="shared" si="323"/>
        <v>-2.280860702151756</v>
      </c>
      <c r="BP76" s="8"/>
      <c r="BQ76" s="19">
        <f>BQ74+BQ75</f>
        <v>151.9</v>
      </c>
      <c r="BR76" s="6" t="s">
        <v>1</v>
      </c>
      <c r="BS76" s="9">
        <f>BS75+BS74</f>
        <v>82636</v>
      </c>
      <c r="BT76" s="23">
        <f t="shared" si="354"/>
        <v>-6.494305940289308</v>
      </c>
      <c r="BU76" s="24" t="s">
        <v>1</v>
      </c>
      <c r="BV76" s="23">
        <f t="shared" si="324"/>
        <v>-4.230118443316414</v>
      </c>
      <c r="BW76" s="8"/>
      <c r="BX76" s="19">
        <f>BX74+BX75</f>
        <v>199</v>
      </c>
      <c r="BY76" s="6" t="s">
        <v>1</v>
      </c>
      <c r="BZ76" s="9">
        <f>BZ75+BZ74</f>
        <v>108488</v>
      </c>
      <c r="CA76" s="23">
        <f t="shared" si="325"/>
        <v>31.00724160631995</v>
      </c>
      <c r="CB76" s="24" t="s">
        <v>1</v>
      </c>
      <c r="CC76" s="23">
        <f t="shared" si="326"/>
        <v>31.284186069025594</v>
      </c>
      <c r="CD76" s="8"/>
      <c r="CE76" s="19">
        <f>CE74+CE75</f>
        <v>162.6</v>
      </c>
      <c r="CF76" s="6" t="s">
        <v>1</v>
      </c>
      <c r="CG76" s="9">
        <f>CG75+CG74</f>
        <v>89701</v>
      </c>
      <c r="CH76" s="23">
        <f t="shared" si="327"/>
        <v>-18.291457286432163</v>
      </c>
      <c r="CI76" s="24" t="s">
        <v>1</v>
      </c>
      <c r="CJ76" s="23">
        <f t="shared" si="328"/>
        <v>-17.317122631074398</v>
      </c>
      <c r="CK76" s="8"/>
      <c r="CL76" s="19">
        <f>CL74+CL75</f>
        <v>153.6</v>
      </c>
      <c r="CM76" s="6" t="s">
        <v>1</v>
      </c>
      <c r="CN76" s="9">
        <f>CN75+CN74</f>
        <v>80493</v>
      </c>
      <c r="CO76" s="23">
        <f t="shared" si="329"/>
        <v>-5.535055350553506</v>
      </c>
      <c r="CP76" s="24" t="s">
        <v>1</v>
      </c>
      <c r="CQ76" s="23">
        <f t="shared" si="330"/>
        <v>-10.265214434621683</v>
      </c>
      <c r="CR76" s="8"/>
      <c r="CS76" s="19">
        <f>CS74+CS75</f>
        <v>156.6</v>
      </c>
      <c r="CT76" s="6" t="s">
        <v>1</v>
      </c>
      <c r="CU76" s="9">
        <f>CU75+CU74</f>
        <v>81417</v>
      </c>
      <c r="CV76" s="23">
        <f t="shared" si="331"/>
        <v>1.953125</v>
      </c>
      <c r="CW76" s="24" t="s">
        <v>1</v>
      </c>
      <c r="CX76" s="23">
        <f t="shared" si="332"/>
        <v>1.1479259066005767</v>
      </c>
      <c r="CY76" s="8"/>
      <c r="CZ76" s="19">
        <f>CZ74+CZ75</f>
        <v>139.9</v>
      </c>
      <c r="DA76" s="6" t="s">
        <v>1</v>
      </c>
      <c r="DB76" s="9">
        <f>DB75+DB74</f>
        <v>76940</v>
      </c>
      <c r="DC76" s="23">
        <f t="shared" si="333"/>
        <v>-10.664112388250317</v>
      </c>
      <c r="DD76" s="24" t="s">
        <v>1</v>
      </c>
      <c r="DE76" s="23">
        <f t="shared" si="334"/>
        <v>-5.498851591191027</v>
      </c>
      <c r="DF76" s="8"/>
      <c r="DG76" s="19">
        <f>DG74+DG75</f>
        <v>145.9</v>
      </c>
      <c r="DH76" s="6" t="s">
        <v>1</v>
      </c>
      <c r="DI76" s="9">
        <f>DI75+DI74</f>
        <v>73800</v>
      </c>
      <c r="DJ76" s="23">
        <f t="shared" si="335"/>
        <v>4.288777698355958</v>
      </c>
      <c r="DK76" s="24" t="s">
        <v>1</v>
      </c>
      <c r="DL76" s="23">
        <f t="shared" si="336"/>
        <v>-4.0811021575253505</v>
      </c>
      <c r="DM76" s="8"/>
      <c r="DN76" s="19">
        <f>DN74+DN75</f>
        <v>138.1</v>
      </c>
      <c r="DO76" s="6" t="s">
        <v>1</v>
      </c>
      <c r="DP76" s="9">
        <f>DP75+DP74</f>
        <v>71230</v>
      </c>
      <c r="DQ76" s="23">
        <f t="shared" si="337"/>
        <v>-5.3461274845784885</v>
      </c>
      <c r="DR76" s="24" t="s">
        <v>1</v>
      </c>
      <c r="DS76" s="23">
        <f t="shared" si="338"/>
        <v>-3.4823848238482356</v>
      </c>
      <c r="DT76" s="8"/>
      <c r="DU76" s="19">
        <f>DU74+DU75</f>
        <v>127.9</v>
      </c>
      <c r="DV76" s="6" t="s">
        <v>1</v>
      </c>
      <c r="DW76" s="9">
        <f>DW75+DW74</f>
        <v>68211</v>
      </c>
      <c r="DX76" s="23">
        <f t="shared" si="339"/>
        <v>-7.3859522085445235</v>
      </c>
      <c r="DY76" s="24" t="s">
        <v>1</v>
      </c>
      <c r="DZ76" s="23">
        <f t="shared" si="340"/>
        <v>-4.2383827039168835</v>
      </c>
      <c r="EA76" s="8"/>
      <c r="EB76" s="19">
        <f>EB74+EB75</f>
        <v>125.1</v>
      </c>
      <c r="EC76" s="6" t="s">
        <v>1</v>
      </c>
      <c r="ED76" s="9">
        <f>ED75+ED74</f>
        <v>69655</v>
      </c>
      <c r="EE76" s="23">
        <f t="shared" si="341"/>
        <v>-2.1892103205629496</v>
      </c>
      <c r="EF76" s="24" t="s">
        <v>1</v>
      </c>
      <c r="EG76" s="23">
        <f t="shared" si="342"/>
        <v>2.11696060752665</v>
      </c>
      <c r="EH76" s="8"/>
      <c r="EI76" s="19">
        <f>EI74+EI75</f>
        <v>123.3</v>
      </c>
      <c r="EJ76" s="6" t="s">
        <v>1</v>
      </c>
      <c r="EK76" s="9">
        <f>EK75+EK74</f>
        <v>67409</v>
      </c>
      <c r="EL76" s="23">
        <f t="shared" si="343"/>
        <v>-1.4388489208633075</v>
      </c>
      <c r="EM76" s="24" t="s">
        <v>1</v>
      </c>
      <c r="EN76" s="23">
        <f t="shared" si="344"/>
        <v>-3.2244634268896704</v>
      </c>
      <c r="EO76" s="8"/>
      <c r="EP76" s="19">
        <f>EP74+EP75</f>
        <v>130.75</v>
      </c>
      <c r="EQ76" s="6" t="s">
        <v>1</v>
      </c>
      <c r="ER76" s="9">
        <f>ER75+ER74</f>
        <v>56849</v>
      </c>
      <c r="ES76" s="23">
        <f t="shared" si="345"/>
        <v>6.042173560421745</v>
      </c>
      <c r="ET76" s="24" t="s">
        <v>1</v>
      </c>
      <c r="EU76" s="23">
        <f t="shared" si="346"/>
        <v>-15.665563945467227</v>
      </c>
      <c r="EV76" s="8"/>
      <c r="EW76" s="19">
        <f>EW74+EW75</f>
        <v>133.57999999999998</v>
      </c>
      <c r="EX76" s="10">
        <f t="shared" si="265"/>
        <v>420.85641563108254</v>
      </c>
      <c r="EY76" s="9">
        <f>EY75+EY74</f>
        <v>56218</v>
      </c>
      <c r="EZ76" s="9">
        <f>EZ75+EZ74</f>
        <v>55929</v>
      </c>
      <c r="FA76" s="23">
        <f t="shared" si="198"/>
        <v>2.164435946462703</v>
      </c>
      <c r="FB76" s="24" t="s">
        <v>1</v>
      </c>
      <c r="FC76" s="23">
        <f t="shared" si="199"/>
        <v>-1.6183222220267766</v>
      </c>
      <c r="FD76" s="8"/>
      <c r="FE76" s="19">
        <f>FE74+FE75</f>
        <v>129.85</v>
      </c>
      <c r="FF76" s="10">
        <f t="shared" si="229"/>
        <v>426.2225644974971</v>
      </c>
      <c r="FG76" s="9">
        <f>FG75+FG74</f>
        <v>55345</v>
      </c>
      <c r="FH76" s="9">
        <f>FH75+FH74</f>
        <v>55115</v>
      </c>
      <c r="FI76" s="23">
        <f t="shared" si="266"/>
        <v>-2.792334181763721</v>
      </c>
      <c r="FJ76" s="23">
        <f t="shared" si="271"/>
        <v>1.2750545476104662</v>
      </c>
      <c r="FK76" s="23">
        <f t="shared" si="271"/>
        <v>-1.5528834181223061</v>
      </c>
      <c r="FL76" s="23">
        <f t="shared" si="267"/>
        <v>-1.455416689016431</v>
      </c>
      <c r="FM76" s="23"/>
      <c r="FN76" s="19">
        <f>FN74+FN75</f>
        <v>134.07</v>
      </c>
      <c r="FO76" s="6" t="s">
        <v>1</v>
      </c>
      <c r="FP76" s="19">
        <f>FP74+FP75</f>
        <v>57788</v>
      </c>
      <c r="FQ76" s="9">
        <f>FQ75+FQ74</f>
        <v>57318</v>
      </c>
      <c r="FR76" s="24" t="s">
        <v>1</v>
      </c>
      <c r="FS76" s="24" t="s">
        <v>1</v>
      </c>
      <c r="FT76" s="23">
        <f t="shared" si="53"/>
        <v>4.4141295509982825</v>
      </c>
      <c r="FU76" s="23">
        <f t="shared" si="53"/>
        <v>3.9970969790438176</v>
      </c>
      <c r="FV76" s="23"/>
      <c r="FW76" s="19">
        <f>FW74+FW75</f>
        <v>154.15</v>
      </c>
      <c r="FX76" s="6" t="s">
        <v>1</v>
      </c>
      <c r="FY76" s="19">
        <f>FY74+FY75</f>
        <v>66600</v>
      </c>
      <c r="FZ76" s="19">
        <f>FZ74+FZ75</f>
        <v>66448</v>
      </c>
      <c r="GA76" s="24" t="s">
        <v>1</v>
      </c>
      <c r="GB76" s="24" t="s">
        <v>1</v>
      </c>
      <c r="GC76" s="24" t="s">
        <v>1</v>
      </c>
      <c r="GD76" s="24" t="s">
        <v>1</v>
      </c>
      <c r="GE76" s="23"/>
      <c r="GF76" s="19">
        <f>GF74+GF75</f>
        <v>166.26</v>
      </c>
      <c r="GG76" s="6" t="s">
        <v>1</v>
      </c>
      <c r="GH76" s="19">
        <f>GH74+GH75</f>
        <v>67886</v>
      </c>
      <c r="GI76" s="19">
        <f>GI74+GI75</f>
        <v>67736</v>
      </c>
      <c r="GJ76" s="23">
        <f t="shared" si="300"/>
        <v>7.85598443074926</v>
      </c>
      <c r="GK76" s="24" t="s">
        <v>1</v>
      </c>
      <c r="GL76" s="23">
        <f t="shared" si="57"/>
        <v>1.930930930930927</v>
      </c>
      <c r="GM76" s="23">
        <f t="shared" si="57"/>
        <v>1.9383578136286985</v>
      </c>
      <c r="GN76" s="23"/>
      <c r="GO76" s="19">
        <f>GO74+GO75</f>
        <v>142.56</v>
      </c>
      <c r="GP76" s="6" t="s">
        <v>1</v>
      </c>
      <c r="GQ76" s="19">
        <f>GQ74+GQ75</f>
        <v>58056</v>
      </c>
      <c r="GR76" s="19">
        <f>GR74+GR75</f>
        <v>57906</v>
      </c>
      <c r="GS76" s="23">
        <f t="shared" si="301"/>
        <v>-14.254781667268134</v>
      </c>
      <c r="GT76" s="24" t="s">
        <v>1</v>
      </c>
      <c r="GU76" s="23">
        <f t="shared" si="59"/>
        <v>-14.480157911793299</v>
      </c>
      <c r="GV76" s="23">
        <f t="shared" si="60"/>
        <v>-14.512223928191801</v>
      </c>
      <c r="GW76" s="23"/>
      <c r="GX76" s="19">
        <f>GX74+GX75</f>
        <v>144.9</v>
      </c>
      <c r="GY76" s="6" t="s">
        <v>1</v>
      </c>
      <c r="GZ76" s="19">
        <f>GZ74+GZ75</f>
        <v>59400</v>
      </c>
      <c r="HA76" s="19">
        <f>HA74+HA75</f>
        <v>59250</v>
      </c>
      <c r="HB76" s="23">
        <f t="shared" si="302"/>
        <v>1.6414141414141454</v>
      </c>
      <c r="HC76" s="24" t="s">
        <v>1</v>
      </c>
      <c r="HD76" s="23">
        <f t="shared" si="62"/>
        <v>2.3150062009094654</v>
      </c>
      <c r="HE76" s="23">
        <f t="shared" si="63"/>
        <v>2.321003004869965</v>
      </c>
      <c r="HF76" s="23"/>
      <c r="HG76" s="19">
        <f>HG74+HG75</f>
        <v>145.1</v>
      </c>
      <c r="HH76" s="6" t="s">
        <v>1</v>
      </c>
      <c r="HI76" s="19">
        <f>HI74+HI75</f>
        <v>59610</v>
      </c>
      <c r="HJ76" s="19">
        <f>HJ74+HJ75</f>
        <v>59420</v>
      </c>
      <c r="HK76" s="23">
        <f t="shared" si="304"/>
        <v>0.1380262249827382</v>
      </c>
      <c r="HL76" s="24" t="s">
        <v>1</v>
      </c>
      <c r="HM76" s="23">
        <f t="shared" si="105"/>
        <v>0.3535353535353494</v>
      </c>
      <c r="HN76" s="23">
        <f t="shared" si="106"/>
        <v>0.28691983122362785</v>
      </c>
      <c r="HO76" s="23"/>
      <c r="HP76" s="19">
        <f>HP74+HP75</f>
        <v>154</v>
      </c>
      <c r="HQ76" s="6" t="s">
        <v>1</v>
      </c>
      <c r="HR76" s="20">
        <f>HR74+HR75</f>
        <v>73412</v>
      </c>
      <c r="HS76" s="20">
        <f>HS74+HS75</f>
        <v>73222</v>
      </c>
      <c r="HT76" s="23">
        <f t="shared" si="306"/>
        <v>6.133700895933842</v>
      </c>
      <c r="HU76" s="24" t="s">
        <v>1</v>
      </c>
      <c r="HV76" s="23">
        <f t="shared" si="64"/>
        <v>23.15383324945479</v>
      </c>
      <c r="HW76" s="23">
        <f t="shared" si="65"/>
        <v>23.22786940424099</v>
      </c>
      <c r="HX76" s="23"/>
      <c r="HY76" s="19">
        <f>HY74+HY75</f>
        <v>102</v>
      </c>
      <c r="HZ76" s="6" t="s">
        <v>1</v>
      </c>
      <c r="IA76" s="20">
        <f>IA74+IA75</f>
        <v>43170</v>
      </c>
      <c r="IB76" s="20">
        <f>IB74+IB75</f>
        <v>43170</v>
      </c>
      <c r="IC76" s="23">
        <f t="shared" si="308"/>
        <v>-33.76623376623377</v>
      </c>
      <c r="ID76" s="24" t="s">
        <v>1</v>
      </c>
      <c r="IE76" s="23">
        <f t="shared" si="309"/>
        <v>-41.194900016346104</v>
      </c>
      <c r="IF76" s="23">
        <f t="shared" si="310"/>
        <v>-41.042309688345036</v>
      </c>
      <c r="IG76" s="23"/>
      <c r="IH76" s="1" t="s">
        <v>73</v>
      </c>
      <c r="II76" s="29">
        <f t="shared" si="223"/>
        <v>140.452</v>
      </c>
      <c r="IJ76" s="30">
        <f t="shared" si="224"/>
        <v>423.5394900642898</v>
      </c>
      <c r="IK76" s="29">
        <f t="shared" si="225"/>
        <v>60338</v>
      </c>
      <c r="IL76" s="25">
        <f t="shared" si="226"/>
        <v>9.646000056958968</v>
      </c>
      <c r="IM76" s="25">
        <f t="shared" si="227"/>
        <v>-100</v>
      </c>
      <c r="IN76" s="25">
        <f t="shared" si="228"/>
        <v>21.3530445158938</v>
      </c>
      <c r="IP76" s="30">
        <f>HP76*100/Italia!BR76</f>
        <v>1.5175747972214584</v>
      </c>
      <c r="IQ76" s="30">
        <f>HR76*100/Italia!BT76</f>
        <v>2.295993364600444</v>
      </c>
      <c r="IR76" s="30">
        <f>HS76*100/Italia!BU76</f>
        <v>2.439250269169678</v>
      </c>
    </row>
    <row r="77" spans="1:252" ht="12">
      <c r="A77" s="1" t="s">
        <v>131</v>
      </c>
      <c r="B77" s="20">
        <v>1536</v>
      </c>
      <c r="C77" s="10">
        <v>267.8</v>
      </c>
      <c r="D77" s="11">
        <v>399200</v>
      </c>
      <c r="E77" s="9"/>
      <c r="F77" s="20">
        <v>1705</v>
      </c>
      <c r="G77" s="10">
        <v>271.8</v>
      </c>
      <c r="H77" s="11">
        <v>409500</v>
      </c>
      <c r="I77" s="23">
        <f t="shared" si="349"/>
        <v>11.002604166666671</v>
      </c>
      <c r="J77" s="23">
        <f>G77*100/C77-100</f>
        <v>1.4936519790888667</v>
      </c>
      <c r="K77" s="23">
        <f t="shared" si="350"/>
        <v>2.5801603206412835</v>
      </c>
      <c r="L77" s="8"/>
      <c r="M77" s="20">
        <v>1829</v>
      </c>
      <c r="N77" s="10">
        <f>503498/M77</f>
        <v>275.2859486057955</v>
      </c>
      <c r="O77" s="11">
        <v>454700</v>
      </c>
      <c r="P77" s="23">
        <f t="shared" si="351"/>
        <v>7.272727272727266</v>
      </c>
      <c r="Q77" s="23">
        <f>N77*100/G77-100</f>
        <v>1.282541797570076</v>
      </c>
      <c r="R77" s="23">
        <f t="shared" si="352"/>
        <v>11.037851037851041</v>
      </c>
      <c r="S77" s="8"/>
      <c r="T77" s="20">
        <v>1878</v>
      </c>
      <c r="U77" s="10">
        <v>293.5</v>
      </c>
      <c r="V77" s="11">
        <v>531200</v>
      </c>
      <c r="W77" s="23">
        <f t="shared" si="311"/>
        <v>2.679059595407324</v>
      </c>
      <c r="X77" s="23">
        <f>U77*100/N77-100</f>
        <v>6.616411584554456</v>
      </c>
      <c r="Y77" s="23">
        <f t="shared" si="312"/>
        <v>16.824279744886738</v>
      </c>
      <c r="Z77" s="8"/>
      <c r="AA77" s="20">
        <v>2060</v>
      </c>
      <c r="AB77" s="10">
        <f>561550/AA77</f>
        <v>272.59708737864077</v>
      </c>
      <c r="AC77" s="11">
        <v>351000</v>
      </c>
      <c r="AD77" s="23">
        <f t="shared" si="313"/>
        <v>9.691160809371667</v>
      </c>
      <c r="AE77" s="23">
        <f>AB77*100/U77-100</f>
        <v>-7.121946378657327</v>
      </c>
      <c r="AF77" s="23">
        <f t="shared" si="314"/>
        <v>-33.92319277108433</v>
      </c>
      <c r="AG77" s="8"/>
      <c r="AH77" s="20">
        <v>1935</v>
      </c>
      <c r="AI77" s="10">
        <v>266.7</v>
      </c>
      <c r="AJ77" s="11">
        <v>472600</v>
      </c>
      <c r="AK77" s="23">
        <f t="shared" si="315"/>
        <v>-6.067961165048544</v>
      </c>
      <c r="AL77" s="23">
        <f>AI77*100/AB77-100</f>
        <v>-2.163298014424356</v>
      </c>
      <c r="AM77" s="23">
        <f t="shared" si="316"/>
        <v>34.64387464387465</v>
      </c>
      <c r="AN77" s="8"/>
      <c r="AO77" s="20">
        <v>1900</v>
      </c>
      <c r="AP77" s="10">
        <v>254.1</v>
      </c>
      <c r="AQ77" s="11">
        <v>447300</v>
      </c>
      <c r="AR77" s="23">
        <f t="shared" si="317"/>
        <v>-1.8087855297157631</v>
      </c>
      <c r="AS77" s="23">
        <f>AP77*100/AI77-100</f>
        <v>-4.724409448818889</v>
      </c>
      <c r="AT77" s="23">
        <f t="shared" si="318"/>
        <v>-5.353364367329661</v>
      </c>
      <c r="AU77" s="8"/>
      <c r="AV77" s="20">
        <v>2070</v>
      </c>
      <c r="AW77" s="10">
        <v>267.6</v>
      </c>
      <c r="AX77" s="11">
        <v>535908</v>
      </c>
      <c r="AY77" s="23">
        <f t="shared" si="319"/>
        <v>8.94736842105263</v>
      </c>
      <c r="AZ77" s="23">
        <f>AW77*100/AP77-100</f>
        <v>5.312868949232609</v>
      </c>
      <c r="BA77" s="23">
        <f t="shared" si="320"/>
        <v>19.80952380952381</v>
      </c>
      <c r="BB77" s="8"/>
      <c r="BC77" s="20">
        <v>2262</v>
      </c>
      <c r="BD77" s="10">
        <v>299.3</v>
      </c>
      <c r="BE77" s="11">
        <v>645786</v>
      </c>
      <c r="BF77" s="23">
        <f t="shared" si="321"/>
        <v>9.275362318840578</v>
      </c>
      <c r="BG77" s="23">
        <f>BD77*100/AW77-100</f>
        <v>11.846038863976077</v>
      </c>
      <c r="BH77" s="23">
        <f t="shared" si="322"/>
        <v>20.50314606238385</v>
      </c>
      <c r="BI77" s="8"/>
      <c r="BJ77" s="20">
        <v>2090</v>
      </c>
      <c r="BK77" s="10">
        <v>248.87</v>
      </c>
      <c r="BL77" s="11">
        <v>503817</v>
      </c>
      <c r="BM77" s="23">
        <f t="shared" si="353"/>
        <v>-7.603890362511052</v>
      </c>
      <c r="BN77" s="23">
        <f>BK77*100/BD77-100</f>
        <v>-16.849315068493155</v>
      </c>
      <c r="BO77" s="23">
        <f t="shared" si="323"/>
        <v>-21.983907981901126</v>
      </c>
      <c r="BP77" s="8"/>
      <c r="BQ77" s="20">
        <v>2372</v>
      </c>
      <c r="BR77" s="10">
        <v>277</v>
      </c>
      <c r="BS77" s="11">
        <v>621565</v>
      </c>
      <c r="BT77" s="23">
        <f t="shared" si="354"/>
        <v>13.492822966507177</v>
      </c>
      <c r="BU77" s="23">
        <f>BR77*100/BK77-100</f>
        <v>11.303089966649253</v>
      </c>
      <c r="BV77" s="23">
        <f t="shared" si="324"/>
        <v>23.37118437845487</v>
      </c>
      <c r="BW77" s="8"/>
      <c r="BX77" s="20">
        <v>2373</v>
      </c>
      <c r="BY77" s="10">
        <v>287.8</v>
      </c>
      <c r="BZ77" s="11">
        <v>610138</v>
      </c>
      <c r="CA77" s="23">
        <f t="shared" si="325"/>
        <v>0.0421585160202369</v>
      </c>
      <c r="CB77" s="23">
        <f>BY77*100/BR77-100</f>
        <v>3.898916967509024</v>
      </c>
      <c r="CC77" s="23">
        <f t="shared" si="326"/>
        <v>-1.838423978184096</v>
      </c>
      <c r="CD77" s="8"/>
      <c r="CE77" s="20">
        <v>1937</v>
      </c>
      <c r="CF77" s="10">
        <v>259.1</v>
      </c>
      <c r="CG77" s="11">
        <v>408633</v>
      </c>
      <c r="CH77" s="23">
        <f t="shared" si="327"/>
        <v>-18.37336704593342</v>
      </c>
      <c r="CI77" s="23">
        <f>CF77*100/BY77-100</f>
        <v>-9.972202918693526</v>
      </c>
      <c r="CJ77" s="23">
        <f t="shared" si="328"/>
        <v>-33.02613507108228</v>
      </c>
      <c r="CK77" s="8"/>
      <c r="CL77" s="20">
        <v>1989</v>
      </c>
      <c r="CM77" s="10">
        <v>274.9</v>
      </c>
      <c r="CN77" s="11">
        <v>544879</v>
      </c>
      <c r="CO77" s="23">
        <f t="shared" si="329"/>
        <v>2.6845637583892596</v>
      </c>
      <c r="CP77" s="23">
        <f>CM77*100/CF77-100</f>
        <v>6.098031648012324</v>
      </c>
      <c r="CQ77" s="23">
        <f t="shared" si="330"/>
        <v>33.34189847613874</v>
      </c>
      <c r="CR77" s="8"/>
      <c r="CS77" s="20">
        <v>1909</v>
      </c>
      <c r="CT77" s="10">
        <v>292.3</v>
      </c>
      <c r="CU77" s="11">
        <v>502120</v>
      </c>
      <c r="CV77" s="23">
        <f t="shared" si="331"/>
        <v>-4.022121669180493</v>
      </c>
      <c r="CW77" s="23">
        <f>CT77*100/CM77-100</f>
        <v>6.329574390687526</v>
      </c>
      <c r="CX77" s="23">
        <f t="shared" si="332"/>
        <v>-7.847430346921058</v>
      </c>
      <c r="CY77" s="8"/>
      <c r="CZ77" s="20">
        <v>1892</v>
      </c>
      <c r="DA77" s="10">
        <v>320.9</v>
      </c>
      <c r="DB77" s="11">
        <v>607230</v>
      </c>
      <c r="DC77" s="23">
        <f t="shared" si="333"/>
        <v>-0.890518596123627</v>
      </c>
      <c r="DD77" s="23">
        <f>DA77*100/CT77-100</f>
        <v>9.784468012316097</v>
      </c>
      <c r="DE77" s="23">
        <f t="shared" si="334"/>
        <v>20.93324304947025</v>
      </c>
      <c r="DF77" s="8"/>
      <c r="DG77" s="20">
        <v>1720</v>
      </c>
      <c r="DH77" s="10">
        <v>291.6</v>
      </c>
      <c r="DI77" s="11">
        <v>490254</v>
      </c>
      <c r="DJ77" s="23">
        <f t="shared" si="335"/>
        <v>-9.090909090909093</v>
      </c>
      <c r="DK77" s="23">
        <f>DH77*100/DA77-100</f>
        <v>-9.130570271112475</v>
      </c>
      <c r="DL77" s="23">
        <f t="shared" si="336"/>
        <v>-19.26387036213626</v>
      </c>
      <c r="DM77" s="8"/>
      <c r="DN77" s="20">
        <v>1703</v>
      </c>
      <c r="DO77" s="10">
        <v>244.2</v>
      </c>
      <c r="DP77" s="11">
        <v>399665</v>
      </c>
      <c r="DQ77" s="23">
        <f t="shared" si="337"/>
        <v>-0.9883720930232585</v>
      </c>
      <c r="DR77" s="23">
        <f>DO77*100/DH77-100</f>
        <v>-16.25514403292182</v>
      </c>
      <c r="DS77" s="23">
        <f t="shared" si="338"/>
        <v>-18.477972642752533</v>
      </c>
      <c r="DT77" s="8"/>
      <c r="DU77" s="20">
        <v>1557</v>
      </c>
      <c r="DV77" s="10">
        <v>301.4</v>
      </c>
      <c r="DW77" s="11">
        <v>469300</v>
      </c>
      <c r="DX77" s="23">
        <f t="shared" si="339"/>
        <v>-8.573106283029944</v>
      </c>
      <c r="DY77" s="23">
        <f>DV77*100/DO77-100</f>
        <v>23.423423423423415</v>
      </c>
      <c r="DZ77" s="23">
        <f t="shared" si="340"/>
        <v>17.423342048966006</v>
      </c>
      <c r="EA77" s="8"/>
      <c r="EB77" s="20">
        <v>1591</v>
      </c>
      <c r="EC77" s="10">
        <v>307</v>
      </c>
      <c r="ED77" s="11">
        <v>485230</v>
      </c>
      <c r="EE77" s="23">
        <f t="shared" si="341"/>
        <v>2.183686576750162</v>
      </c>
      <c r="EF77" s="23">
        <f>EC77*100/DV77-100</f>
        <v>1.8579960185799678</v>
      </c>
      <c r="EG77" s="23">
        <f t="shared" si="342"/>
        <v>3.3944172171319025</v>
      </c>
      <c r="EH77" s="8"/>
      <c r="EI77" s="20">
        <v>1390</v>
      </c>
      <c r="EJ77" s="10">
        <v>317.3</v>
      </c>
      <c r="EK77" s="11">
        <v>422985</v>
      </c>
      <c r="EL77" s="23">
        <f t="shared" si="343"/>
        <v>-12.633563796354494</v>
      </c>
      <c r="EM77" s="23">
        <f>EJ77*100/EC77-100</f>
        <v>3.355048859934854</v>
      </c>
      <c r="EN77" s="23">
        <f t="shared" si="344"/>
        <v>-12.827937266863131</v>
      </c>
      <c r="EO77" s="8"/>
      <c r="EP77" s="20">
        <v>1455</v>
      </c>
      <c r="EQ77" s="10">
        <v>297</v>
      </c>
      <c r="ER77" s="11">
        <v>427985</v>
      </c>
      <c r="ES77" s="23">
        <f t="shared" si="345"/>
        <v>4.6762589928057565</v>
      </c>
      <c r="ET77" s="23">
        <f>EQ77*100/EJ77-100</f>
        <v>-6.397730854081317</v>
      </c>
      <c r="EU77" s="23">
        <f t="shared" si="346"/>
        <v>1.182075014480418</v>
      </c>
      <c r="EV77" s="8"/>
      <c r="EW77" s="20">
        <v>1613</v>
      </c>
      <c r="EX77" s="10">
        <f t="shared" si="265"/>
        <v>295.38127712337257</v>
      </c>
      <c r="EY77" s="11">
        <v>476450</v>
      </c>
      <c r="EZ77" s="11">
        <v>476450</v>
      </c>
      <c r="FA77" s="23">
        <f t="shared" si="198"/>
        <v>10.859106529209626</v>
      </c>
      <c r="FB77" s="23">
        <f>EX77*100/EQ77-100</f>
        <v>-0.5450245375849931</v>
      </c>
      <c r="FC77" s="23">
        <f t="shared" si="199"/>
        <v>11.323994999824762</v>
      </c>
      <c r="FD77" s="8"/>
      <c r="FE77" s="20">
        <v>1492</v>
      </c>
      <c r="FF77" s="10">
        <f t="shared" si="229"/>
        <v>222.46648793565683</v>
      </c>
      <c r="FG77" s="11">
        <v>331920</v>
      </c>
      <c r="FH77" s="11">
        <v>331920</v>
      </c>
      <c r="FI77" s="23">
        <f t="shared" si="266"/>
        <v>-7.501549907005582</v>
      </c>
      <c r="FJ77" s="23">
        <f t="shared" si="271"/>
        <v>-24.68497323114397</v>
      </c>
      <c r="FK77" s="23">
        <f t="shared" si="271"/>
        <v>-30.334767551684337</v>
      </c>
      <c r="FL77" s="23">
        <f t="shared" si="267"/>
        <v>-30.334767551684337</v>
      </c>
      <c r="FM77" s="23"/>
      <c r="FN77" s="20">
        <v>1487</v>
      </c>
      <c r="FO77" s="10">
        <f t="shared" si="220"/>
        <v>249.60995292535307</v>
      </c>
      <c r="FP77" s="11">
        <v>371170</v>
      </c>
      <c r="FQ77" s="11">
        <v>371170</v>
      </c>
      <c r="FR77" s="23">
        <f>FN77*100/FE77-100</f>
        <v>-0.3351206434316367</v>
      </c>
      <c r="FS77" s="23">
        <f>FO77*100/FF77-100</f>
        <v>12.201147796043259</v>
      </c>
      <c r="FT77" s="23">
        <f t="shared" si="53"/>
        <v>11.825138587611477</v>
      </c>
      <c r="FU77" s="23">
        <f t="shared" si="53"/>
        <v>11.825138587611477</v>
      </c>
      <c r="FV77" s="23"/>
      <c r="FW77" s="20">
        <v>1508</v>
      </c>
      <c r="FX77" s="10">
        <f>FY77/FW77</f>
        <v>209.84946949602121</v>
      </c>
      <c r="FY77" s="20">
        <v>316453</v>
      </c>
      <c r="FZ77" s="20">
        <v>315732</v>
      </c>
      <c r="GA77" s="23">
        <f aca="true" t="shared" si="356" ref="GA77:GD78">FW77*100/FN77-100</f>
        <v>1.4122394082044423</v>
      </c>
      <c r="GB77" s="23">
        <f t="shared" si="356"/>
        <v>-15.929045682414113</v>
      </c>
      <c r="GC77" s="23">
        <f t="shared" si="356"/>
        <v>-14.74176253468761</v>
      </c>
      <c r="GD77" s="23">
        <f t="shared" si="356"/>
        <v>-14.936013147614304</v>
      </c>
      <c r="GE77" s="23"/>
      <c r="GF77" s="20">
        <v>1448</v>
      </c>
      <c r="GG77" s="10">
        <f>GH77/GF77</f>
        <v>276.06353591160223</v>
      </c>
      <c r="GH77" s="20">
        <v>399740</v>
      </c>
      <c r="GI77" s="20">
        <v>399740</v>
      </c>
      <c r="GJ77" s="23">
        <f t="shared" si="300"/>
        <v>-3.9787798408488015</v>
      </c>
      <c r="GK77" s="23">
        <f t="shared" si="300"/>
        <v>31.553125473513035</v>
      </c>
      <c r="GL77" s="23">
        <f t="shared" si="57"/>
        <v>26.318916237166334</v>
      </c>
      <c r="GM77" s="23">
        <f t="shared" si="57"/>
        <v>26.60737587574272</v>
      </c>
      <c r="GN77" s="23"/>
      <c r="GO77" s="20">
        <v>1339</v>
      </c>
      <c r="GP77" s="10">
        <f>GQ77/GO77</f>
        <v>242.94025392083645</v>
      </c>
      <c r="GQ77" s="20">
        <v>325297</v>
      </c>
      <c r="GR77" s="20">
        <v>321757</v>
      </c>
      <c r="GS77" s="23">
        <f t="shared" si="301"/>
        <v>-7.527624309392266</v>
      </c>
      <c r="GT77" s="23">
        <f t="shared" si="301"/>
        <v>-11.99842705824507</v>
      </c>
      <c r="GU77" s="23">
        <f t="shared" si="59"/>
        <v>-18.622854855656172</v>
      </c>
      <c r="GV77" s="23">
        <f t="shared" si="60"/>
        <v>-19.508430479811878</v>
      </c>
      <c r="GW77" s="23"/>
      <c r="GX77" s="20">
        <v>1356</v>
      </c>
      <c r="GY77" s="10">
        <f>GZ77/GX77</f>
        <v>270.77433628318585</v>
      </c>
      <c r="GZ77" s="20">
        <v>367170</v>
      </c>
      <c r="HA77" s="20">
        <v>367170</v>
      </c>
      <c r="HB77" s="23">
        <f t="shared" si="302"/>
        <v>1.2696041822255353</v>
      </c>
      <c r="HC77" s="23">
        <f>GY77*100/GP77-100</f>
        <v>11.457171840867218</v>
      </c>
      <c r="HD77" s="23">
        <f t="shared" si="62"/>
        <v>12.872236755949174</v>
      </c>
      <c r="HE77" s="23">
        <f t="shared" si="63"/>
        <v>14.114067448416037</v>
      </c>
      <c r="HF77" s="23"/>
      <c r="HG77" s="20">
        <v>1262</v>
      </c>
      <c r="HH77" s="10">
        <f>HI77/HG77</f>
        <v>234.33438985736925</v>
      </c>
      <c r="HI77" s="20">
        <v>295730</v>
      </c>
      <c r="HJ77" s="20">
        <v>283430</v>
      </c>
      <c r="HK77" s="23">
        <f t="shared" si="304"/>
        <v>-6.9321533923303775</v>
      </c>
      <c r="HL77" s="23">
        <f>HH77*100/GY77-100</f>
        <v>-13.457681007001469</v>
      </c>
      <c r="HM77" s="23">
        <f t="shared" si="105"/>
        <v>-19.456927308876004</v>
      </c>
      <c r="HN77" s="23">
        <f t="shared" si="106"/>
        <v>-22.806874199961868</v>
      </c>
      <c r="HO77" s="23"/>
      <c r="HP77" s="20">
        <v>1380</v>
      </c>
      <c r="HQ77" s="10">
        <f>HR77/HP77</f>
        <v>270.3985507246377</v>
      </c>
      <c r="HR77" s="20">
        <v>373150</v>
      </c>
      <c r="HS77" s="20">
        <v>373150</v>
      </c>
      <c r="HT77" s="23">
        <f t="shared" si="306"/>
        <v>9.350237717908087</v>
      </c>
      <c r="HU77" s="23">
        <f>HQ77*100/HH77-100</f>
        <v>15.390041935039648</v>
      </c>
      <c r="HV77" s="23">
        <f t="shared" si="64"/>
        <v>26.179285158759683</v>
      </c>
      <c r="HW77" s="23">
        <f t="shared" si="65"/>
        <v>31.655082383657344</v>
      </c>
      <c r="HX77" s="23"/>
      <c r="HY77" s="20">
        <v>1398</v>
      </c>
      <c r="HZ77" s="10">
        <f>IA77/HY77</f>
        <v>286.96351931330474</v>
      </c>
      <c r="IA77" s="20">
        <v>401175</v>
      </c>
      <c r="IB77" s="20">
        <v>401175</v>
      </c>
      <c r="IC77" s="23">
        <f t="shared" si="308"/>
        <v>1.3043478260869534</v>
      </c>
      <c r="ID77" s="23">
        <f>HZ77*100/HQ77-100</f>
        <v>6.126130685343838</v>
      </c>
      <c r="IE77" s="23">
        <f t="shared" si="309"/>
        <v>7.510384563848319</v>
      </c>
      <c r="IF77" s="23">
        <f t="shared" si="310"/>
        <v>7.510384563848319</v>
      </c>
      <c r="IG77" s="23"/>
      <c r="IH77" s="1" t="s">
        <v>131</v>
      </c>
      <c r="II77" s="29">
        <f aca="true" t="shared" si="357" ref="II77:II92">AVERAGE(EI77,EP77,EW77,FE77,FN77,FW77,GF77,GO77,GX77,HG77)</f>
        <v>1435</v>
      </c>
      <c r="IJ77" s="30">
        <f aca="true" t="shared" si="358" ref="IJ77:IJ92">AVERAGE(EJ77,EQ77,EX77,FF77,FO77,FX77,GG77,GP77,GY77,HH77)</f>
        <v>261.57197034533976</v>
      </c>
      <c r="IK77" s="29">
        <f aca="true" t="shared" si="359" ref="IK77:IK92">AVERAGE(EK77,ER77,EZ77,FH77,FQ77,FZ77,GI77,GR77,HA77,HJ77)</f>
        <v>371833.9</v>
      </c>
      <c r="IL77" s="25">
        <f aca="true" t="shared" si="360" ref="IL77:IL108">HP77*100/II77-100</f>
        <v>-3.832752613240416</v>
      </c>
      <c r="IM77" s="25">
        <f aca="true" t="shared" si="361" ref="IM77:IM108">HQ77*100/IJ77-100</f>
        <v>3.3744366292935126</v>
      </c>
      <c r="IN77" s="25">
        <f aca="true" t="shared" si="362" ref="IN77:IN108">HS77*100/IK77-100</f>
        <v>0.3539483624274169</v>
      </c>
      <c r="IP77" s="30">
        <f>HP77*100/Italia!BR77</f>
        <v>6.419201786212671</v>
      </c>
      <c r="IQ77" s="30">
        <f>HR77*100/Italia!BT77</f>
        <v>7.077612666147977</v>
      </c>
      <c r="IR77" s="30">
        <f>HS77*100/Italia!BU77</f>
        <v>7.555041560321079</v>
      </c>
    </row>
    <row r="78" spans="1:252" ht="12">
      <c r="A78" s="1" t="s">
        <v>74</v>
      </c>
      <c r="B78" s="22">
        <v>216.15</v>
      </c>
      <c r="C78" s="10">
        <v>291.4</v>
      </c>
      <c r="D78" s="11">
        <v>61618</v>
      </c>
      <c r="E78" s="9"/>
      <c r="F78" s="22">
        <v>219.15</v>
      </c>
      <c r="G78" s="10">
        <v>318.8</v>
      </c>
      <c r="H78" s="11">
        <v>68480</v>
      </c>
      <c r="I78" s="23">
        <f t="shared" si="349"/>
        <v>1.38792505204718</v>
      </c>
      <c r="J78" s="23">
        <f>G78*100/C78-100</f>
        <v>9.402882635552515</v>
      </c>
      <c r="K78" s="23">
        <f t="shared" si="350"/>
        <v>11.136356259534551</v>
      </c>
      <c r="L78" s="8"/>
      <c r="M78" s="22">
        <v>238.65</v>
      </c>
      <c r="N78" s="10">
        <f>81400/M78</f>
        <v>341.08527131782944</v>
      </c>
      <c r="O78" s="11">
        <v>80090</v>
      </c>
      <c r="P78" s="23">
        <f t="shared" si="351"/>
        <v>8.898015058179325</v>
      </c>
      <c r="Q78" s="23">
        <f>N78*100/G78-100</f>
        <v>6.990361141100834</v>
      </c>
      <c r="R78" s="23">
        <f t="shared" si="352"/>
        <v>16.953855140186917</v>
      </c>
      <c r="S78" s="8"/>
      <c r="T78" s="22">
        <v>252.5</v>
      </c>
      <c r="U78" s="10">
        <v>342.4</v>
      </c>
      <c r="V78" s="11">
        <v>85330</v>
      </c>
      <c r="W78" s="23">
        <f t="shared" si="311"/>
        <v>5.80347789650115</v>
      </c>
      <c r="X78" s="23">
        <f>U78*100/N78-100</f>
        <v>0.38545454545455016</v>
      </c>
      <c r="Y78" s="23">
        <f t="shared" si="312"/>
        <v>6.542639530528149</v>
      </c>
      <c r="Z78" s="8"/>
      <c r="AA78" s="22">
        <v>267.8</v>
      </c>
      <c r="AB78" s="10">
        <f>95530/AA78</f>
        <v>356.7214339058999</v>
      </c>
      <c r="AC78" s="11">
        <v>95175</v>
      </c>
      <c r="AD78" s="23">
        <f t="shared" si="313"/>
        <v>6.059405940594061</v>
      </c>
      <c r="AE78" s="23">
        <f>AB78*100/U78-100</f>
        <v>4.182661771582929</v>
      </c>
      <c r="AF78" s="23">
        <f t="shared" si="314"/>
        <v>11.537560060939882</v>
      </c>
      <c r="AG78" s="8"/>
      <c r="AH78" s="22">
        <v>206.43</v>
      </c>
      <c r="AI78" s="10">
        <f>72769/AH78</f>
        <v>352.5117473235479</v>
      </c>
      <c r="AJ78" s="11">
        <v>72209</v>
      </c>
      <c r="AK78" s="23">
        <f t="shared" si="315"/>
        <v>-22.916355489171025</v>
      </c>
      <c r="AL78" s="23">
        <f>AI78*100/AB78-100</f>
        <v>-1.1801047490357632</v>
      </c>
      <c r="AM78" s="23">
        <f t="shared" si="316"/>
        <v>-24.130286314683474</v>
      </c>
      <c r="AN78" s="8"/>
      <c r="AO78" s="22">
        <v>195.23</v>
      </c>
      <c r="AP78" s="10">
        <v>343.1</v>
      </c>
      <c r="AQ78" s="11">
        <v>66510</v>
      </c>
      <c r="AR78" s="23">
        <f t="shared" si="317"/>
        <v>-5.425567989148874</v>
      </c>
      <c r="AS78" s="23">
        <f>AP78*100/AI78-100</f>
        <v>-2.66991026398604</v>
      </c>
      <c r="AT78" s="23">
        <f t="shared" si="318"/>
        <v>-7.892367987369994</v>
      </c>
      <c r="AU78" s="8"/>
      <c r="AV78" s="22">
        <v>191.73</v>
      </c>
      <c r="AW78" s="10">
        <f>60960/AV78</f>
        <v>317.947113127836</v>
      </c>
      <c r="AX78" s="11">
        <v>60851</v>
      </c>
      <c r="AY78" s="23">
        <f t="shared" si="319"/>
        <v>-1.792757260666903</v>
      </c>
      <c r="AZ78" s="23">
        <f>AW78*100/AP78-100</f>
        <v>-7.33106583274963</v>
      </c>
      <c r="BA78" s="23">
        <f t="shared" si="320"/>
        <v>-8.508494963163429</v>
      </c>
      <c r="BB78" s="8"/>
      <c r="BC78" s="22">
        <v>202.13</v>
      </c>
      <c r="BD78" s="10">
        <f>67426/BC78</f>
        <v>333.5774006827289</v>
      </c>
      <c r="BE78" s="11">
        <v>67301</v>
      </c>
      <c r="BF78" s="23">
        <f t="shared" si="321"/>
        <v>5.424294580921099</v>
      </c>
      <c r="BG78" s="23">
        <f>BD78*100/AW78-100</f>
        <v>4.9160023505571075</v>
      </c>
      <c r="BH78" s="23">
        <f t="shared" si="322"/>
        <v>10.599661468176365</v>
      </c>
      <c r="BI78" s="8"/>
      <c r="BJ78" s="22">
        <v>194.63</v>
      </c>
      <c r="BK78" s="10">
        <f>58706/BJ78</f>
        <v>301.62873143914095</v>
      </c>
      <c r="BL78" s="11">
        <v>57226</v>
      </c>
      <c r="BM78" s="23">
        <f t="shared" si="353"/>
        <v>-3.710483352298027</v>
      </c>
      <c r="BN78" s="23">
        <f>BK78*100/BD78-100</f>
        <v>-9.57758804349426</v>
      </c>
      <c r="BO78" s="23">
        <f t="shared" si="323"/>
        <v>-14.970059880239518</v>
      </c>
      <c r="BP78" s="8"/>
      <c r="BQ78" s="22">
        <v>204.13</v>
      </c>
      <c r="BR78" s="10">
        <f>58020/BQ78</f>
        <v>284.23063733895066</v>
      </c>
      <c r="BS78" s="11">
        <v>57490</v>
      </c>
      <c r="BT78" s="23">
        <f t="shared" si="354"/>
        <v>4.881056363356109</v>
      </c>
      <c r="BU78" s="23">
        <f>BR78*100/BK78-100</f>
        <v>-5.76804935563662</v>
      </c>
      <c r="BV78" s="23">
        <f t="shared" si="324"/>
        <v>0.4613287666445274</v>
      </c>
      <c r="BW78" s="8"/>
      <c r="BX78" s="22">
        <v>217.87</v>
      </c>
      <c r="BY78" s="10">
        <f>60686/BX78</f>
        <v>278.5422499655758</v>
      </c>
      <c r="BZ78" s="11">
        <v>60364</v>
      </c>
      <c r="CA78" s="23">
        <f t="shared" si="325"/>
        <v>6.731004751873812</v>
      </c>
      <c r="CB78" s="23">
        <f>BY78*100/BR78-100</f>
        <v>-2.001328015386079</v>
      </c>
      <c r="CC78" s="23">
        <f t="shared" si="326"/>
        <v>4.999130283527563</v>
      </c>
      <c r="CD78" s="8"/>
      <c r="CE78" s="22">
        <v>216.17</v>
      </c>
      <c r="CF78" s="10">
        <f>63207/CE78</f>
        <v>292.39487440440394</v>
      </c>
      <c r="CG78" s="11">
        <v>63087</v>
      </c>
      <c r="CH78" s="23">
        <f t="shared" si="327"/>
        <v>-0.7802818194336112</v>
      </c>
      <c r="CI78" s="23">
        <f>CF78*100/BY78-100</f>
        <v>4.973257895540129</v>
      </c>
      <c r="CJ78" s="23">
        <f t="shared" si="328"/>
        <v>4.510966801404805</v>
      </c>
      <c r="CK78" s="8"/>
      <c r="CL78" s="22">
        <v>233.5</v>
      </c>
      <c r="CM78" s="10">
        <v>290</v>
      </c>
      <c r="CN78" s="11">
        <v>67217</v>
      </c>
      <c r="CO78" s="23">
        <f t="shared" si="329"/>
        <v>8.01683859925059</v>
      </c>
      <c r="CP78" s="23">
        <f>CM78*100/CF78-100</f>
        <v>-0.8190548515196099</v>
      </c>
      <c r="CQ78" s="23">
        <f t="shared" si="330"/>
        <v>6.546515129899973</v>
      </c>
      <c r="CR78" s="8"/>
      <c r="CS78" s="22">
        <v>193.1</v>
      </c>
      <c r="CT78" s="10">
        <f>53523/CS78</f>
        <v>277.17762817193164</v>
      </c>
      <c r="CU78" s="11">
        <v>53323</v>
      </c>
      <c r="CV78" s="23">
        <f t="shared" si="331"/>
        <v>-17.30192719486081</v>
      </c>
      <c r="CW78" s="23">
        <f>CT78*100/CM78-100</f>
        <v>-4.421507526920124</v>
      </c>
      <c r="CX78" s="23">
        <f t="shared" si="332"/>
        <v>-20.670366127616532</v>
      </c>
      <c r="CY78" s="8"/>
      <c r="CZ78" s="22">
        <v>194.1</v>
      </c>
      <c r="DA78" s="10">
        <f>59135/CZ78</f>
        <v>304.66254507985576</v>
      </c>
      <c r="DB78" s="11">
        <v>58935</v>
      </c>
      <c r="DC78" s="23">
        <f t="shared" si="333"/>
        <v>0.517866390471255</v>
      </c>
      <c r="DD78" s="23">
        <f>DA78*100/CT78-100</f>
        <v>9.915993974403804</v>
      </c>
      <c r="DE78" s="23">
        <f t="shared" si="334"/>
        <v>10.524539129456329</v>
      </c>
      <c r="DF78" s="8"/>
      <c r="DG78" s="22">
        <v>181.1</v>
      </c>
      <c r="DH78" s="10">
        <f>61475/DG78</f>
        <v>339.45334069574824</v>
      </c>
      <c r="DI78" s="11">
        <v>60675</v>
      </c>
      <c r="DJ78" s="23">
        <f t="shared" si="335"/>
        <v>-6.697578567748579</v>
      </c>
      <c r="DK78" s="23">
        <f>DH78*100/DA78-100</f>
        <v>11.419452826658897</v>
      </c>
      <c r="DL78" s="23">
        <f t="shared" si="336"/>
        <v>2.952405192160853</v>
      </c>
      <c r="DM78" s="8"/>
      <c r="DN78" s="22">
        <v>251</v>
      </c>
      <c r="DO78" s="10">
        <f>75120/DN78</f>
        <v>299.2828685258964</v>
      </c>
      <c r="DP78" s="11">
        <v>74020</v>
      </c>
      <c r="DQ78" s="23">
        <f t="shared" si="337"/>
        <v>38.59745996686914</v>
      </c>
      <c r="DR78" s="23">
        <f>DO78*100/DH78-100</f>
        <v>-11.833871508678598</v>
      </c>
      <c r="DS78" s="23">
        <f t="shared" si="338"/>
        <v>21.99423156159868</v>
      </c>
      <c r="DT78" s="8"/>
      <c r="DU78" s="22">
        <v>255.8</v>
      </c>
      <c r="DV78" s="10">
        <f>71190/DU78</f>
        <v>278.3033620015637</v>
      </c>
      <c r="DW78" s="11">
        <v>70190</v>
      </c>
      <c r="DX78" s="23">
        <f t="shared" si="339"/>
        <v>1.91235059760956</v>
      </c>
      <c r="DY78" s="23">
        <f>DV78*100/DO78-100</f>
        <v>-7.00992563579274</v>
      </c>
      <c r="DZ78" s="23">
        <f t="shared" si="340"/>
        <v>-5.174277222372325</v>
      </c>
      <c r="EA78" s="8"/>
      <c r="EB78" s="22">
        <v>277.5</v>
      </c>
      <c r="EC78" s="10">
        <f>85690/EB78</f>
        <v>308.7927927927928</v>
      </c>
      <c r="ED78" s="11">
        <v>85290</v>
      </c>
      <c r="EE78" s="23">
        <f t="shared" si="341"/>
        <v>8.48318999218138</v>
      </c>
      <c r="EF78" s="23">
        <f>EC78*100/DV78-100</f>
        <v>10.955466212103389</v>
      </c>
      <c r="EG78" s="23">
        <f t="shared" si="342"/>
        <v>21.513036045020655</v>
      </c>
      <c r="EH78" s="8"/>
      <c r="EI78" s="22">
        <v>335.3</v>
      </c>
      <c r="EJ78" s="10">
        <f>128490/EI78</f>
        <v>383.20906650760514</v>
      </c>
      <c r="EK78" s="11">
        <v>127890</v>
      </c>
      <c r="EL78" s="23">
        <f t="shared" si="343"/>
        <v>20.828828828828833</v>
      </c>
      <c r="EM78" s="23">
        <f>EJ78*100/EC78-100</f>
        <v>24.099096692566732</v>
      </c>
      <c r="EN78" s="23">
        <f t="shared" si="344"/>
        <v>49.94723883221948</v>
      </c>
      <c r="EO78" s="8"/>
      <c r="EP78" s="22">
        <v>341.2</v>
      </c>
      <c r="EQ78" s="10">
        <f>117430/EP78</f>
        <v>344.1676436107855</v>
      </c>
      <c r="ER78" s="11">
        <v>117130</v>
      </c>
      <c r="ES78" s="23">
        <f t="shared" si="345"/>
        <v>1.7596182523113555</v>
      </c>
      <c r="ET78" s="23">
        <f>EQ78*100/EJ78-100</f>
        <v>-10.188021711653548</v>
      </c>
      <c r="EU78" s="23">
        <f t="shared" si="346"/>
        <v>-8.413480334662594</v>
      </c>
      <c r="EV78" s="8"/>
      <c r="EW78" s="22">
        <v>344.23</v>
      </c>
      <c r="EX78" s="10">
        <f t="shared" si="265"/>
        <v>304.8804578334253</v>
      </c>
      <c r="EY78" s="11">
        <v>104949</v>
      </c>
      <c r="EZ78" s="11">
        <v>104649</v>
      </c>
      <c r="FA78" s="23">
        <f t="shared" si="198"/>
        <v>0.8880422039859326</v>
      </c>
      <c r="FB78" s="23">
        <f>EX78*100/EQ78-100</f>
        <v>-11.415130534987057</v>
      </c>
      <c r="FC78" s="23">
        <f t="shared" si="199"/>
        <v>-10.655681721164513</v>
      </c>
      <c r="FD78" s="8"/>
      <c r="FE78" s="22">
        <v>341.4</v>
      </c>
      <c r="FF78" s="10">
        <f t="shared" si="229"/>
        <v>169.17398945518454</v>
      </c>
      <c r="FG78" s="11">
        <v>57756</v>
      </c>
      <c r="FH78" s="11">
        <v>57556</v>
      </c>
      <c r="FI78" s="23">
        <f t="shared" si="266"/>
        <v>-0.8221247421782039</v>
      </c>
      <c r="FJ78" s="23">
        <f t="shared" si="271"/>
        <v>-44.51136991285465</v>
      </c>
      <c r="FK78" s="23">
        <f t="shared" si="271"/>
        <v>-44.967555669896804</v>
      </c>
      <c r="FL78" s="23">
        <f t="shared" si="267"/>
        <v>-45.000907796538904</v>
      </c>
      <c r="FM78" s="23"/>
      <c r="FN78" s="22">
        <v>329.65</v>
      </c>
      <c r="FO78" s="10">
        <f t="shared" si="220"/>
        <v>208.69103594721676</v>
      </c>
      <c r="FP78" s="11">
        <v>68795</v>
      </c>
      <c r="FQ78" s="11">
        <v>68635</v>
      </c>
      <c r="FR78" s="23">
        <f>FN78*100/FE78-100</f>
        <v>-3.441710603397766</v>
      </c>
      <c r="FS78" s="23">
        <f>FO78*100/FF78-100</f>
        <v>23.358819295622624</v>
      </c>
      <c r="FT78" s="23">
        <f t="shared" si="53"/>
        <v>19.11316573169887</v>
      </c>
      <c r="FU78" s="23">
        <f t="shared" si="53"/>
        <v>19.249079157689906</v>
      </c>
      <c r="FV78" s="23"/>
      <c r="FW78" s="22">
        <v>310.7</v>
      </c>
      <c r="FX78" s="10">
        <f>FY78/FW78</f>
        <v>129.1277759897007</v>
      </c>
      <c r="FY78" s="20">
        <v>40120</v>
      </c>
      <c r="FZ78" s="20">
        <v>39960</v>
      </c>
      <c r="GA78" s="23">
        <f t="shared" si="356"/>
        <v>-5.748521158804792</v>
      </c>
      <c r="GB78" s="23">
        <f t="shared" si="356"/>
        <v>-38.12490536375488</v>
      </c>
      <c r="GC78" s="23">
        <f t="shared" si="356"/>
        <v>-41.68180827094992</v>
      </c>
      <c r="GD78" s="23">
        <f t="shared" si="356"/>
        <v>-41.77897574123989</v>
      </c>
      <c r="GE78" s="23"/>
      <c r="GF78" s="22">
        <v>309.65</v>
      </c>
      <c r="GG78" s="10">
        <f>GH78/GF78</f>
        <v>167.96383013079284</v>
      </c>
      <c r="GH78" s="20">
        <v>52010</v>
      </c>
      <c r="GI78" s="20">
        <v>51890</v>
      </c>
      <c r="GJ78" s="23">
        <f t="shared" si="300"/>
        <v>-0.3379465722562003</v>
      </c>
      <c r="GK78" s="23">
        <f t="shared" si="300"/>
        <v>30.075678020033223</v>
      </c>
      <c r="GL78" s="23">
        <f aca="true" t="shared" si="363" ref="GL78:GM119">GH78*100/FY78-100</f>
        <v>29.63609172482552</v>
      </c>
      <c r="GM78" s="23">
        <f t="shared" si="363"/>
        <v>29.854854854854864</v>
      </c>
      <c r="GN78" s="23"/>
      <c r="GO78" s="22">
        <v>299.65</v>
      </c>
      <c r="GP78" s="10">
        <f>GQ78/GO78</f>
        <v>211.11296512598034</v>
      </c>
      <c r="GQ78" s="20">
        <v>63260</v>
      </c>
      <c r="GR78" s="20">
        <v>63040</v>
      </c>
      <c r="GS78" s="23">
        <f t="shared" si="301"/>
        <v>-3.2294526077829886</v>
      </c>
      <c r="GT78" s="23">
        <f t="shared" si="301"/>
        <v>25.689539802460686</v>
      </c>
      <c r="GU78" s="23">
        <f aca="true" t="shared" si="364" ref="GU78:GU113">GQ78*100/GH78-100</f>
        <v>21.6304556815997</v>
      </c>
      <c r="GV78" s="23">
        <f aca="true" t="shared" si="365" ref="GV78:GV113">GR78*100/GI78-100</f>
        <v>21.487762574677205</v>
      </c>
      <c r="GW78" s="23"/>
      <c r="GX78" s="22">
        <v>297.65</v>
      </c>
      <c r="GY78" s="10">
        <f>GZ78/GX78</f>
        <v>195.397278683017</v>
      </c>
      <c r="GZ78" s="20">
        <v>58160</v>
      </c>
      <c r="HA78" s="20">
        <v>58060</v>
      </c>
      <c r="HB78" s="23">
        <f t="shared" si="302"/>
        <v>-0.6674453529117415</v>
      </c>
      <c r="HC78" s="23">
        <f>GY78*100/GP78-100</f>
        <v>-7.444207149279109</v>
      </c>
      <c r="HD78" s="23">
        <f aca="true" t="shared" si="366" ref="HD78:HD113">GZ78*100/GQ78-100</f>
        <v>-8.061966487511853</v>
      </c>
      <c r="HE78" s="23">
        <f aca="true" t="shared" si="367" ref="HE78:HE113">HA78*100/GR78-100</f>
        <v>-7.899746192893403</v>
      </c>
      <c r="HF78" s="23"/>
      <c r="HG78" s="22">
        <v>302.35</v>
      </c>
      <c r="HH78" s="10">
        <f>HI78/HG78</f>
        <v>211.4767653381842</v>
      </c>
      <c r="HI78" s="20">
        <v>63940</v>
      </c>
      <c r="HJ78" s="20">
        <v>63840</v>
      </c>
      <c r="HK78" s="23">
        <f t="shared" si="304"/>
        <v>1.579035780278872</v>
      </c>
      <c r="HL78" s="23">
        <f>HH78*100/GY78-100</f>
        <v>8.22912517694381</v>
      </c>
      <c r="HM78" s="23">
        <f t="shared" si="105"/>
        <v>9.93810178817057</v>
      </c>
      <c r="HN78" s="23">
        <f t="shared" si="106"/>
        <v>9.955218739235278</v>
      </c>
      <c r="HO78" s="23"/>
      <c r="HP78" s="22">
        <v>307.5</v>
      </c>
      <c r="HQ78" s="10">
        <f>HR78/HP78</f>
        <v>183.28455284552845</v>
      </c>
      <c r="HR78" s="47">
        <v>56360</v>
      </c>
      <c r="HS78" s="47">
        <v>56250</v>
      </c>
      <c r="HT78" s="23">
        <f t="shared" si="306"/>
        <v>1.703323962295343</v>
      </c>
      <c r="HU78" s="23">
        <f>HQ78*100/HH78-100</f>
        <v>-13.331115807248153</v>
      </c>
      <c r="HV78" s="23">
        <f t="shared" si="64"/>
        <v>-11.854863934939004</v>
      </c>
      <c r="HW78" s="23">
        <f t="shared" si="65"/>
        <v>-11.889097744360896</v>
      </c>
      <c r="HX78" s="23"/>
      <c r="HY78" s="22"/>
      <c r="HZ78" s="10" t="e">
        <f>IA78/HY78</f>
        <v>#DIV/0!</v>
      </c>
      <c r="IA78" s="47"/>
      <c r="IB78" s="47"/>
      <c r="IC78" s="23">
        <f t="shared" si="308"/>
        <v>-100</v>
      </c>
      <c r="ID78" s="23" t="e">
        <f>HZ78*100/HQ78-100</f>
        <v>#DIV/0!</v>
      </c>
      <c r="IE78" s="23">
        <f t="shared" si="309"/>
        <v>-100</v>
      </c>
      <c r="IF78" s="23">
        <f t="shared" si="310"/>
        <v>-100</v>
      </c>
      <c r="IG78" s="23"/>
      <c r="IH78" s="1" t="s">
        <v>74</v>
      </c>
      <c r="II78" s="29">
        <f t="shared" si="357"/>
        <v>321.178</v>
      </c>
      <c r="IJ78" s="30">
        <f t="shared" si="358"/>
        <v>232.52008086218922</v>
      </c>
      <c r="IK78" s="29">
        <f t="shared" si="359"/>
        <v>75265</v>
      </c>
      <c r="IL78" s="25">
        <f t="shared" si="360"/>
        <v>-4.258697669205233</v>
      </c>
      <c r="IM78" s="25">
        <f t="shared" si="361"/>
        <v>-21.17474234229337</v>
      </c>
      <c r="IN78" s="25">
        <f t="shared" si="362"/>
        <v>-25.264066963396004</v>
      </c>
      <c r="IP78" s="30">
        <f>HP78*100/Italia!BR78</f>
        <v>9.322362756630246</v>
      </c>
      <c r="IQ78" s="30">
        <f>HR78*100/Italia!BT78</f>
        <v>5.3404944221397415</v>
      </c>
      <c r="IR78" s="30">
        <f>HS78*100/Italia!BU78</f>
        <v>5.531386809633759</v>
      </c>
    </row>
    <row r="79" spans="1:252" ht="12">
      <c r="A79" s="1" t="s">
        <v>75</v>
      </c>
      <c r="B79" s="19">
        <f>B78+B77</f>
        <v>1752.15</v>
      </c>
      <c r="C79" s="6" t="s">
        <v>1</v>
      </c>
      <c r="D79" s="9">
        <f>D78+D77</f>
        <v>460818</v>
      </c>
      <c r="E79" s="9"/>
      <c r="F79" s="19">
        <f>F77+F78</f>
        <v>1924.15</v>
      </c>
      <c r="G79" s="6" t="s">
        <v>1</v>
      </c>
      <c r="H79" s="9">
        <f>H78+H77</f>
        <v>477980</v>
      </c>
      <c r="I79" s="23">
        <f t="shared" si="349"/>
        <v>9.816511143452331</v>
      </c>
      <c r="J79" s="24" t="s">
        <v>1</v>
      </c>
      <c r="K79" s="23">
        <f t="shared" si="350"/>
        <v>3.724246882717253</v>
      </c>
      <c r="L79" s="8"/>
      <c r="M79" s="19">
        <f>M77+M78</f>
        <v>2067.65</v>
      </c>
      <c r="N79" s="6" t="s">
        <v>1</v>
      </c>
      <c r="O79" s="9">
        <f>O78+O77</f>
        <v>534790</v>
      </c>
      <c r="P79" s="23">
        <f t="shared" si="351"/>
        <v>7.457838526102435</v>
      </c>
      <c r="Q79" s="24" t="s">
        <v>1</v>
      </c>
      <c r="R79" s="23">
        <f t="shared" si="352"/>
        <v>11.885434537009914</v>
      </c>
      <c r="S79" s="8"/>
      <c r="T79" s="19">
        <f>T77+T78</f>
        <v>2130.5</v>
      </c>
      <c r="U79" s="6" t="s">
        <v>1</v>
      </c>
      <c r="V79" s="9">
        <f>V78+V77</f>
        <v>616530</v>
      </c>
      <c r="W79" s="23">
        <f t="shared" si="311"/>
        <v>3.0396827316035058</v>
      </c>
      <c r="X79" s="24" t="s">
        <v>1</v>
      </c>
      <c r="Y79" s="23">
        <f t="shared" si="312"/>
        <v>15.284504197909456</v>
      </c>
      <c r="Z79" s="8"/>
      <c r="AA79" s="19">
        <f>AA77+AA78</f>
        <v>2327.8</v>
      </c>
      <c r="AB79" s="6" t="s">
        <v>1</v>
      </c>
      <c r="AC79" s="9">
        <f>AC78+AC77</f>
        <v>446175</v>
      </c>
      <c r="AD79" s="23">
        <f t="shared" si="313"/>
        <v>9.260736916216871</v>
      </c>
      <c r="AE79" s="24" t="s">
        <v>1</v>
      </c>
      <c r="AF79" s="23">
        <f t="shared" si="314"/>
        <v>-27.63125881952216</v>
      </c>
      <c r="AG79" s="8"/>
      <c r="AH79" s="19">
        <f>AH77+AH78</f>
        <v>2141.43</v>
      </c>
      <c r="AI79" s="6" t="s">
        <v>1</v>
      </c>
      <c r="AJ79" s="9">
        <f>AJ78+AJ77</f>
        <v>544809</v>
      </c>
      <c r="AK79" s="23">
        <f t="shared" si="315"/>
        <v>-8.006272016496283</v>
      </c>
      <c r="AL79" s="24" t="s">
        <v>1</v>
      </c>
      <c r="AM79" s="23">
        <f t="shared" si="316"/>
        <v>22.106572533198857</v>
      </c>
      <c r="AN79" s="8"/>
      <c r="AO79" s="19">
        <f>AO77+AO78</f>
        <v>2095.23</v>
      </c>
      <c r="AP79" s="6" t="s">
        <v>1</v>
      </c>
      <c r="AQ79" s="9">
        <f>AQ78+AQ77</f>
        <v>513810</v>
      </c>
      <c r="AR79" s="23">
        <f t="shared" si="317"/>
        <v>-2.157436852944059</v>
      </c>
      <c r="AS79" s="24" t="s">
        <v>1</v>
      </c>
      <c r="AT79" s="23">
        <f t="shared" si="318"/>
        <v>-5.6898839776876</v>
      </c>
      <c r="AU79" s="8"/>
      <c r="AV79" s="19">
        <f>AV77+AV78</f>
        <v>2261.73</v>
      </c>
      <c r="AW79" s="6" t="s">
        <v>1</v>
      </c>
      <c r="AX79" s="9">
        <f>AX78+AX77</f>
        <v>596759</v>
      </c>
      <c r="AY79" s="23">
        <f t="shared" si="319"/>
        <v>7.946621611947137</v>
      </c>
      <c r="AZ79" s="24" t="s">
        <v>1</v>
      </c>
      <c r="BA79" s="23">
        <f t="shared" si="320"/>
        <v>16.14390533465678</v>
      </c>
      <c r="BB79" s="8"/>
      <c r="BC79" s="19">
        <f>BC77+BC78</f>
        <v>2464.13</v>
      </c>
      <c r="BD79" s="6" t="s">
        <v>1</v>
      </c>
      <c r="BE79" s="9">
        <f>BE78+BE77</f>
        <v>713087</v>
      </c>
      <c r="BF79" s="23">
        <f t="shared" si="321"/>
        <v>8.94890194673988</v>
      </c>
      <c r="BG79" s="24" t="s">
        <v>1</v>
      </c>
      <c r="BH79" s="23">
        <f t="shared" si="322"/>
        <v>19.493296288786595</v>
      </c>
      <c r="BI79" s="8"/>
      <c r="BJ79" s="19">
        <f>BJ77+BJ78</f>
        <v>2284.63</v>
      </c>
      <c r="BK79" s="6" t="s">
        <v>1</v>
      </c>
      <c r="BL79" s="9">
        <f>BL78+BL77</f>
        <v>561043</v>
      </c>
      <c r="BM79" s="23">
        <f t="shared" si="353"/>
        <v>-7.284518268110858</v>
      </c>
      <c r="BN79" s="24" t="s">
        <v>1</v>
      </c>
      <c r="BO79" s="23">
        <f t="shared" si="323"/>
        <v>-21.32194248387644</v>
      </c>
      <c r="BP79" s="8"/>
      <c r="BQ79" s="19">
        <f>BQ77+BQ78</f>
        <v>2576.13</v>
      </c>
      <c r="BR79" s="6" t="s">
        <v>1</v>
      </c>
      <c r="BS79" s="9">
        <f>BS78+BS77</f>
        <v>679055</v>
      </c>
      <c r="BT79" s="23">
        <f t="shared" si="354"/>
        <v>12.759177634890548</v>
      </c>
      <c r="BU79" s="24" t="s">
        <v>1</v>
      </c>
      <c r="BV79" s="23">
        <f t="shared" si="324"/>
        <v>21.03439486812954</v>
      </c>
      <c r="BW79" s="8"/>
      <c r="BX79" s="19">
        <f>BX77+BX78</f>
        <v>2590.87</v>
      </c>
      <c r="BY79" s="6" t="s">
        <v>1</v>
      </c>
      <c r="BZ79" s="9">
        <f>BZ78+BZ77</f>
        <v>670502</v>
      </c>
      <c r="CA79" s="23">
        <f t="shared" si="325"/>
        <v>0.5721760935977613</v>
      </c>
      <c r="CB79" s="24" t="s">
        <v>1</v>
      </c>
      <c r="CC79" s="23">
        <f t="shared" si="326"/>
        <v>-1.2595445140673434</v>
      </c>
      <c r="CD79" s="8"/>
      <c r="CE79" s="19">
        <f>CE77+CE78</f>
        <v>2153.17</v>
      </c>
      <c r="CF79" s="6" t="s">
        <v>1</v>
      </c>
      <c r="CG79" s="9">
        <f>CG78+CG77</f>
        <v>471720</v>
      </c>
      <c r="CH79" s="23">
        <f t="shared" si="327"/>
        <v>-16.893939101537313</v>
      </c>
      <c r="CI79" s="24" t="s">
        <v>1</v>
      </c>
      <c r="CJ79" s="23">
        <f t="shared" si="328"/>
        <v>-29.64674229159644</v>
      </c>
      <c r="CK79" s="8"/>
      <c r="CL79" s="19">
        <f>CL77+CL78</f>
        <v>2222.5</v>
      </c>
      <c r="CM79" s="6" t="s">
        <v>1</v>
      </c>
      <c r="CN79" s="9">
        <f>CN78+CN77</f>
        <v>612096</v>
      </c>
      <c r="CO79" s="23">
        <f t="shared" si="329"/>
        <v>3.2199036769042806</v>
      </c>
      <c r="CP79" s="24" t="s">
        <v>1</v>
      </c>
      <c r="CQ79" s="23">
        <f t="shared" si="330"/>
        <v>29.75833121343169</v>
      </c>
      <c r="CR79" s="8"/>
      <c r="CS79" s="19">
        <f>CS77+CS78</f>
        <v>2102.1</v>
      </c>
      <c r="CT79" s="6" t="s">
        <v>1</v>
      </c>
      <c r="CU79" s="9">
        <f>CU78+CU77</f>
        <v>555443</v>
      </c>
      <c r="CV79" s="23">
        <f t="shared" si="331"/>
        <v>-5.417322834645674</v>
      </c>
      <c r="CW79" s="24" t="s">
        <v>1</v>
      </c>
      <c r="CX79" s="23">
        <f t="shared" si="332"/>
        <v>-9.255574289000421</v>
      </c>
      <c r="CY79" s="8"/>
      <c r="CZ79" s="19">
        <f>CZ77+CZ78</f>
        <v>2086.1</v>
      </c>
      <c r="DA79" s="6" t="s">
        <v>1</v>
      </c>
      <c r="DB79" s="9">
        <f>DB78+DB77</f>
        <v>666165</v>
      </c>
      <c r="DC79" s="23">
        <f t="shared" si="333"/>
        <v>-0.7611436182864679</v>
      </c>
      <c r="DD79" s="24" t="s">
        <v>1</v>
      </c>
      <c r="DE79" s="23">
        <f t="shared" si="334"/>
        <v>19.933998628122055</v>
      </c>
      <c r="DF79" s="8"/>
      <c r="DG79" s="19">
        <f>DG77+DG78</f>
        <v>1901.1</v>
      </c>
      <c r="DH79" s="6" t="s">
        <v>1</v>
      </c>
      <c r="DI79" s="9">
        <f>DI78+DI77</f>
        <v>550929</v>
      </c>
      <c r="DJ79" s="23">
        <f t="shared" si="335"/>
        <v>-8.868222999856187</v>
      </c>
      <c r="DK79" s="24" t="s">
        <v>1</v>
      </c>
      <c r="DL79" s="23">
        <f t="shared" si="336"/>
        <v>-17.298417058836776</v>
      </c>
      <c r="DM79" s="8"/>
      <c r="DN79" s="19">
        <f>DN77+DN78</f>
        <v>1954</v>
      </c>
      <c r="DO79" s="6" t="s">
        <v>1</v>
      </c>
      <c r="DP79" s="9">
        <f>DP78+DP77</f>
        <v>473685</v>
      </c>
      <c r="DQ79" s="23">
        <f t="shared" si="337"/>
        <v>2.7825995476303262</v>
      </c>
      <c r="DR79" s="24" t="s">
        <v>1</v>
      </c>
      <c r="DS79" s="23">
        <f t="shared" si="338"/>
        <v>-14.020681430819579</v>
      </c>
      <c r="DT79" s="8"/>
      <c r="DU79" s="19">
        <f>DU77+DU78</f>
        <v>1812.8</v>
      </c>
      <c r="DV79" s="6" t="s">
        <v>1</v>
      </c>
      <c r="DW79" s="9">
        <f>DW78+DW77</f>
        <v>539490</v>
      </c>
      <c r="DX79" s="23">
        <f t="shared" si="339"/>
        <v>-7.226202661207779</v>
      </c>
      <c r="DY79" s="24" t="s">
        <v>1</v>
      </c>
      <c r="DZ79" s="23">
        <f t="shared" si="340"/>
        <v>13.89214351309414</v>
      </c>
      <c r="EA79" s="8"/>
      <c r="EB79" s="19">
        <f>EB77+EB78</f>
        <v>1868.5</v>
      </c>
      <c r="EC79" s="6" t="s">
        <v>1</v>
      </c>
      <c r="ED79" s="9">
        <f>ED78+ED77</f>
        <v>570520</v>
      </c>
      <c r="EE79" s="23">
        <f t="shared" si="341"/>
        <v>3.072594880847305</v>
      </c>
      <c r="EF79" s="24" t="s">
        <v>1</v>
      </c>
      <c r="EG79" s="23">
        <f t="shared" si="342"/>
        <v>5.751728484309254</v>
      </c>
      <c r="EH79" s="8"/>
      <c r="EI79" s="19">
        <f>EI77+EI78</f>
        <v>1725.3</v>
      </c>
      <c r="EJ79" s="6" t="s">
        <v>1</v>
      </c>
      <c r="EK79" s="9">
        <f>EK78+EK77</f>
        <v>550875</v>
      </c>
      <c r="EL79" s="23">
        <f t="shared" si="343"/>
        <v>-7.66390152528767</v>
      </c>
      <c r="EM79" s="24" t="s">
        <v>1</v>
      </c>
      <c r="EN79" s="23">
        <f t="shared" si="344"/>
        <v>-3.4433499263829503</v>
      </c>
      <c r="EO79" s="8"/>
      <c r="EP79" s="19">
        <f>EP77+EP78</f>
        <v>1796.2</v>
      </c>
      <c r="EQ79" s="6" t="s">
        <v>1</v>
      </c>
      <c r="ER79" s="9">
        <f>ER78+ER77</f>
        <v>545115</v>
      </c>
      <c r="ES79" s="23">
        <f t="shared" si="345"/>
        <v>4.109430244015542</v>
      </c>
      <c r="ET79" s="24" t="s">
        <v>1</v>
      </c>
      <c r="EU79" s="23">
        <f t="shared" si="346"/>
        <v>-1.0456092579986347</v>
      </c>
      <c r="EV79" s="8"/>
      <c r="EW79" s="19">
        <f>EW77+EW78</f>
        <v>1957.23</v>
      </c>
      <c r="EX79" s="10">
        <f t="shared" si="265"/>
        <v>297.05195608078765</v>
      </c>
      <c r="EY79" s="9">
        <f>EY78+EY77</f>
        <v>581399</v>
      </c>
      <c r="EZ79" s="9">
        <f>EZ78+EZ77</f>
        <v>581099</v>
      </c>
      <c r="FA79" s="23">
        <f t="shared" si="198"/>
        <v>8.965037300968703</v>
      </c>
      <c r="FB79" s="24" t="s">
        <v>1</v>
      </c>
      <c r="FC79" s="23">
        <f t="shared" si="199"/>
        <v>6.601175898663584</v>
      </c>
      <c r="FD79" s="8"/>
      <c r="FE79" s="19">
        <f>FE77+FE78</f>
        <v>1833.4</v>
      </c>
      <c r="FF79" s="10">
        <f t="shared" si="229"/>
        <v>212.54281662485</v>
      </c>
      <c r="FG79" s="9">
        <f>FG78+FG77</f>
        <v>389676</v>
      </c>
      <c r="FH79" s="9">
        <f>FH78+FH77</f>
        <v>389476</v>
      </c>
      <c r="FI79" s="23">
        <f t="shared" si="266"/>
        <v>-6.326798587800113</v>
      </c>
      <c r="FJ79" s="23">
        <f t="shared" si="271"/>
        <v>-28.449278897511846</v>
      </c>
      <c r="FK79" s="23">
        <f t="shared" si="271"/>
        <v>-32.97614890978484</v>
      </c>
      <c r="FL79" s="23">
        <f t="shared" si="267"/>
        <v>-32.97596450862933</v>
      </c>
      <c r="FM79" s="23"/>
      <c r="FN79" s="19">
        <f>FN77+FN78</f>
        <v>1816.65</v>
      </c>
      <c r="FO79" s="6" t="s">
        <v>1</v>
      </c>
      <c r="FP79" s="19">
        <f>FP77+FP78</f>
        <v>439965</v>
      </c>
      <c r="FQ79" s="9">
        <f>FQ78+FQ77</f>
        <v>439805</v>
      </c>
      <c r="FR79" s="24" t="s">
        <v>1</v>
      </c>
      <c r="FS79" s="24" t="s">
        <v>1</v>
      </c>
      <c r="FT79" s="23">
        <f aca="true" t="shared" si="368" ref="FT79:FU122">FP79*100/FG79-100</f>
        <v>12.905336741292771</v>
      </c>
      <c r="FU79" s="23">
        <f t="shared" si="368"/>
        <v>12.922233975906096</v>
      </c>
      <c r="FV79" s="23"/>
      <c r="FW79" s="19">
        <f>FW77+FW78</f>
        <v>1818.7</v>
      </c>
      <c r="FX79" s="6" t="s">
        <v>1</v>
      </c>
      <c r="FY79" s="19">
        <f>FY77+FY78</f>
        <v>356573</v>
      </c>
      <c r="FZ79" s="19">
        <f>FZ77+FZ78</f>
        <v>355692</v>
      </c>
      <c r="GA79" s="24" t="s">
        <v>1</v>
      </c>
      <c r="GB79" s="24" t="s">
        <v>1</v>
      </c>
      <c r="GC79" s="24" t="s">
        <v>1</v>
      </c>
      <c r="GD79" s="24" t="s">
        <v>1</v>
      </c>
      <c r="GE79" s="23"/>
      <c r="GF79" s="19">
        <f>GF77+GF78</f>
        <v>1757.65</v>
      </c>
      <c r="GG79" s="6" t="s">
        <v>1</v>
      </c>
      <c r="GH79" s="19">
        <f>GH77+GH78</f>
        <v>451750</v>
      </c>
      <c r="GI79" s="19">
        <f>GI77+GI78</f>
        <v>451630</v>
      </c>
      <c r="GJ79" s="23">
        <f t="shared" si="300"/>
        <v>-3.3567933139055413</v>
      </c>
      <c r="GK79" s="24" t="s">
        <v>1</v>
      </c>
      <c r="GL79" s="23">
        <f t="shared" si="363"/>
        <v>26.692149994531277</v>
      </c>
      <c r="GM79" s="23">
        <f t="shared" si="363"/>
        <v>26.972211913678123</v>
      </c>
      <c r="GN79" s="23"/>
      <c r="GO79" s="19">
        <f>GO77+GO78</f>
        <v>1638.65</v>
      </c>
      <c r="GP79" s="6" t="s">
        <v>1</v>
      </c>
      <c r="GQ79" s="19">
        <f>GQ77+GQ78</f>
        <v>388557</v>
      </c>
      <c r="GR79" s="19">
        <f>GR77+GR78</f>
        <v>384797</v>
      </c>
      <c r="GS79" s="23">
        <f t="shared" si="301"/>
        <v>-6.77040366398316</v>
      </c>
      <c r="GT79" s="24" t="s">
        <v>1</v>
      </c>
      <c r="GU79" s="23">
        <f t="shared" si="364"/>
        <v>-13.988489208633098</v>
      </c>
      <c r="GV79" s="23">
        <f t="shared" si="365"/>
        <v>-14.798175497641878</v>
      </c>
      <c r="GW79" s="23"/>
      <c r="GX79" s="19">
        <f>GX77+GX78</f>
        <v>1653.65</v>
      </c>
      <c r="GY79" s="6" t="s">
        <v>1</v>
      </c>
      <c r="GZ79" s="19">
        <f>GZ77+GZ78</f>
        <v>425330</v>
      </c>
      <c r="HA79" s="19">
        <f>HA77+HA78</f>
        <v>425230</v>
      </c>
      <c r="HB79" s="23">
        <f t="shared" si="302"/>
        <v>0.9153876666768355</v>
      </c>
      <c r="HC79" s="24" t="s">
        <v>1</v>
      </c>
      <c r="HD79" s="23">
        <f t="shared" si="366"/>
        <v>9.463991126141082</v>
      </c>
      <c r="HE79" s="23">
        <f t="shared" si="367"/>
        <v>10.507618302637496</v>
      </c>
      <c r="HF79" s="23"/>
      <c r="HG79" s="19">
        <f>HG77+HG78</f>
        <v>1564.35</v>
      </c>
      <c r="HH79" s="6" t="s">
        <v>1</v>
      </c>
      <c r="HI79" s="19">
        <f>HI77+HI78</f>
        <v>359670</v>
      </c>
      <c r="HJ79" s="19">
        <f>HJ77+HJ78</f>
        <v>347270</v>
      </c>
      <c r="HK79" s="23">
        <f t="shared" si="304"/>
        <v>-5.4001753696368695</v>
      </c>
      <c r="HL79" s="24" t="s">
        <v>1</v>
      </c>
      <c r="HM79" s="23">
        <f t="shared" si="105"/>
        <v>-15.437425058190115</v>
      </c>
      <c r="HN79" s="23">
        <f t="shared" si="106"/>
        <v>-18.333607694659364</v>
      </c>
      <c r="HO79" s="23"/>
      <c r="HP79" s="19">
        <f>HP77+HP78</f>
        <v>1687.5</v>
      </c>
      <c r="HQ79" s="6" t="s">
        <v>1</v>
      </c>
      <c r="HR79" s="19">
        <f>HR77+HR78</f>
        <v>429510</v>
      </c>
      <c r="HS79" s="19">
        <f>HS77+HS78</f>
        <v>429400</v>
      </c>
      <c r="HT79" s="23">
        <f t="shared" si="306"/>
        <v>7.872279221401868</v>
      </c>
      <c r="HU79" s="24" t="s">
        <v>1</v>
      </c>
      <c r="HV79" s="23">
        <f t="shared" si="64"/>
        <v>19.41779964967887</v>
      </c>
      <c r="HW79" s="23">
        <f t="shared" si="65"/>
        <v>23.650185734442942</v>
      </c>
      <c r="HX79" s="23"/>
      <c r="HY79" s="19">
        <f>HY77+HY78</f>
        <v>1398</v>
      </c>
      <c r="HZ79" s="6" t="s">
        <v>1</v>
      </c>
      <c r="IA79" s="19">
        <f>IA77+IA78</f>
        <v>401175</v>
      </c>
      <c r="IB79" s="19">
        <f>IB77+IB78</f>
        <v>401175</v>
      </c>
      <c r="IC79" s="23">
        <f t="shared" si="308"/>
        <v>-17.15555555555555</v>
      </c>
      <c r="ID79" s="24" t="s">
        <v>1</v>
      </c>
      <c r="IE79" s="23">
        <f t="shared" si="309"/>
        <v>-6.597052455123276</v>
      </c>
      <c r="IF79" s="23">
        <f t="shared" si="310"/>
        <v>-6.573125291103864</v>
      </c>
      <c r="IG79" s="23"/>
      <c r="IH79" s="1" t="s">
        <v>75</v>
      </c>
      <c r="II79" s="29">
        <f t="shared" si="357"/>
        <v>1756.1779999999999</v>
      </c>
      <c r="IJ79" s="30">
        <f t="shared" si="358"/>
        <v>254.79738635281882</v>
      </c>
      <c r="IK79" s="29">
        <f t="shared" si="359"/>
        <v>447098.9</v>
      </c>
      <c r="IL79" s="25">
        <f t="shared" si="360"/>
        <v>-3.910651425994402</v>
      </c>
      <c r="IM79" s="25">
        <f t="shared" si="361"/>
        <v>-100</v>
      </c>
      <c r="IN79" s="25">
        <f t="shared" si="362"/>
        <v>-3.9586096051678936</v>
      </c>
      <c r="IP79" s="30">
        <f>HP79*100/Italia!BR79</f>
        <v>6.805390433818939</v>
      </c>
      <c r="IQ79" s="30">
        <f>HR79*100/Italia!BT79</f>
        <v>6.7878913159842345</v>
      </c>
      <c r="IR79" s="30">
        <f>HS79*100/Italia!BU79</f>
        <v>7.2095244971046055</v>
      </c>
    </row>
    <row r="80" spans="1:252" ht="12">
      <c r="A80" s="1" t="s">
        <v>76</v>
      </c>
      <c r="B80" s="20">
        <v>245</v>
      </c>
      <c r="C80" s="10">
        <v>277.3</v>
      </c>
      <c r="D80" s="11">
        <v>54300</v>
      </c>
      <c r="E80" s="9"/>
      <c r="F80" s="20">
        <v>265</v>
      </c>
      <c r="G80" s="10">
        <v>287.8</v>
      </c>
      <c r="H80" s="11">
        <v>66100</v>
      </c>
      <c r="I80" s="23">
        <f t="shared" si="349"/>
        <v>8.163265306122454</v>
      </c>
      <c r="J80" s="23">
        <f>G80*100/C80-100</f>
        <v>3.786512802019473</v>
      </c>
      <c r="K80" s="23">
        <f t="shared" si="350"/>
        <v>21.73112338858195</v>
      </c>
      <c r="L80" s="8"/>
      <c r="M80" s="20">
        <v>248</v>
      </c>
      <c r="N80" s="10">
        <f>73870/M80</f>
        <v>297.86290322580646</v>
      </c>
      <c r="O80" s="11">
        <v>73500</v>
      </c>
      <c r="P80" s="23">
        <f t="shared" si="351"/>
        <v>-6.415094339622641</v>
      </c>
      <c r="Q80" s="23">
        <f>N80*100/G80-100</f>
        <v>3.496491739335113</v>
      </c>
      <c r="R80" s="23">
        <f t="shared" si="352"/>
        <v>11.195158850226932</v>
      </c>
      <c r="S80" s="8"/>
      <c r="T80" s="20">
        <v>233</v>
      </c>
      <c r="U80" s="10">
        <v>295.9</v>
      </c>
      <c r="V80" s="11">
        <v>68600</v>
      </c>
      <c r="W80" s="23">
        <f t="shared" si="311"/>
        <v>-6.048387096774192</v>
      </c>
      <c r="X80" s="23">
        <f>U80*100/N80-100</f>
        <v>-0.658995532692586</v>
      </c>
      <c r="Y80" s="23">
        <f t="shared" si="312"/>
        <v>-6.666666666666671</v>
      </c>
      <c r="Z80" s="8"/>
      <c r="AA80" s="20">
        <v>218</v>
      </c>
      <c r="AB80" s="10">
        <v>299.9</v>
      </c>
      <c r="AC80" s="11">
        <v>60200</v>
      </c>
      <c r="AD80" s="23">
        <f t="shared" si="313"/>
        <v>-6.437768240343345</v>
      </c>
      <c r="AE80" s="23">
        <f>AB80*100/U80-100</f>
        <v>1.3518080432578472</v>
      </c>
      <c r="AF80" s="23">
        <f t="shared" si="314"/>
        <v>-12.244897959183675</v>
      </c>
      <c r="AG80" s="8"/>
      <c r="AH80" s="20">
        <v>225</v>
      </c>
      <c r="AI80" s="10">
        <v>310.6</v>
      </c>
      <c r="AJ80" s="11">
        <v>66000</v>
      </c>
      <c r="AK80" s="23">
        <f t="shared" si="315"/>
        <v>3.2110091743119256</v>
      </c>
      <c r="AL80" s="23">
        <f>AI80*100/AB80-100</f>
        <v>3.567855951984015</v>
      </c>
      <c r="AM80" s="23">
        <f t="shared" si="316"/>
        <v>9.63455149501661</v>
      </c>
      <c r="AN80" s="8"/>
      <c r="AO80" s="20">
        <v>193</v>
      </c>
      <c r="AP80" s="10">
        <v>289</v>
      </c>
      <c r="AQ80" s="11">
        <v>52200</v>
      </c>
      <c r="AR80" s="23">
        <f t="shared" si="317"/>
        <v>-14.222222222222229</v>
      </c>
      <c r="AS80" s="23">
        <f>AP80*100/AI80-100</f>
        <v>-6.954282034771424</v>
      </c>
      <c r="AT80" s="23">
        <f t="shared" si="318"/>
        <v>-20.909090909090907</v>
      </c>
      <c r="AU80" s="8"/>
      <c r="AV80" s="20">
        <v>185</v>
      </c>
      <c r="AW80" s="10">
        <v>300.9</v>
      </c>
      <c r="AX80" s="11">
        <v>54963</v>
      </c>
      <c r="AY80" s="23">
        <f t="shared" si="319"/>
        <v>-4.145077720207254</v>
      </c>
      <c r="AZ80" s="23">
        <f>AW80*100/AP80-100</f>
        <v>4.117647058823522</v>
      </c>
      <c r="BA80" s="23">
        <f t="shared" si="320"/>
        <v>5.293103448275858</v>
      </c>
      <c r="BB80" s="8"/>
      <c r="BC80" s="20">
        <v>167</v>
      </c>
      <c r="BD80" s="10">
        <v>286.6</v>
      </c>
      <c r="BE80" s="11">
        <v>47040</v>
      </c>
      <c r="BF80" s="23">
        <f t="shared" si="321"/>
        <v>-9.729729729729726</v>
      </c>
      <c r="BG80" s="23">
        <f>BD80*100/AW80-100</f>
        <v>-4.752409438351592</v>
      </c>
      <c r="BH80" s="23">
        <f t="shared" si="322"/>
        <v>-14.415152011353086</v>
      </c>
      <c r="BI80" s="8"/>
      <c r="BJ80" s="20">
        <v>177</v>
      </c>
      <c r="BK80" s="10">
        <v>285.33</v>
      </c>
      <c r="BL80" s="11">
        <v>50229</v>
      </c>
      <c r="BM80" s="23">
        <f t="shared" si="353"/>
        <v>5.988023952095801</v>
      </c>
      <c r="BN80" s="23">
        <f>BK80*100/BD80-100</f>
        <v>-0.44312630844383705</v>
      </c>
      <c r="BO80" s="23">
        <f t="shared" si="323"/>
        <v>6.779336734693871</v>
      </c>
      <c r="BP80" s="8"/>
      <c r="BQ80" s="20">
        <v>172</v>
      </c>
      <c r="BR80" s="10">
        <v>284.4</v>
      </c>
      <c r="BS80" s="11">
        <v>48482</v>
      </c>
      <c r="BT80" s="23">
        <f t="shared" si="354"/>
        <v>-2.8248587570621453</v>
      </c>
      <c r="BU80" s="23">
        <f>BR80*100/BK80-100</f>
        <v>-0.3259383871306909</v>
      </c>
      <c r="BV80" s="23">
        <f t="shared" si="324"/>
        <v>-3.478070437396724</v>
      </c>
      <c r="BW80" s="8"/>
      <c r="BX80" s="20">
        <v>179</v>
      </c>
      <c r="BY80" s="10">
        <v>324</v>
      </c>
      <c r="BZ80" s="11">
        <v>55737</v>
      </c>
      <c r="CA80" s="23">
        <f t="shared" si="325"/>
        <v>4.0697674418604635</v>
      </c>
      <c r="CB80" s="23">
        <f>BY80*100/BR80-100</f>
        <v>13.924050632911403</v>
      </c>
      <c r="CC80" s="23">
        <f t="shared" si="326"/>
        <v>14.964316653603404</v>
      </c>
      <c r="CD80" s="8"/>
      <c r="CE80" s="20">
        <v>141</v>
      </c>
      <c r="CF80" s="10">
        <v>302.9</v>
      </c>
      <c r="CG80" s="11">
        <v>42284</v>
      </c>
      <c r="CH80" s="23">
        <f t="shared" si="327"/>
        <v>-21.229050279329613</v>
      </c>
      <c r="CI80" s="23">
        <f>CF80*100/BY80-100</f>
        <v>-6.5123456790123555</v>
      </c>
      <c r="CJ80" s="23">
        <f t="shared" si="328"/>
        <v>-24.136569962502463</v>
      </c>
      <c r="CK80" s="8"/>
      <c r="CL80" s="20">
        <v>133</v>
      </c>
      <c r="CM80" s="10">
        <v>305.3</v>
      </c>
      <c r="CN80" s="11">
        <v>39908</v>
      </c>
      <c r="CO80" s="23">
        <f t="shared" si="329"/>
        <v>-5.673758865248232</v>
      </c>
      <c r="CP80" s="23">
        <f>CM80*100/CF80-100</f>
        <v>0.7923407065038077</v>
      </c>
      <c r="CQ80" s="23">
        <f t="shared" si="330"/>
        <v>-5.619146722164416</v>
      </c>
      <c r="CR80" s="8"/>
      <c r="CS80" s="20">
        <v>132</v>
      </c>
      <c r="CT80" s="10">
        <v>291.7</v>
      </c>
      <c r="CU80" s="11">
        <v>37969</v>
      </c>
      <c r="CV80" s="23">
        <f t="shared" si="331"/>
        <v>-0.7518796992481214</v>
      </c>
      <c r="CW80" s="23">
        <f>CT80*100/CM80-100</f>
        <v>-4.454634785456932</v>
      </c>
      <c r="CX80" s="23">
        <f t="shared" si="332"/>
        <v>-4.858674952390501</v>
      </c>
      <c r="CY80" s="8"/>
      <c r="CZ80" s="20">
        <v>123</v>
      </c>
      <c r="DA80" s="10">
        <v>308.4</v>
      </c>
      <c r="DB80" s="11">
        <v>37485</v>
      </c>
      <c r="DC80" s="23">
        <f t="shared" si="333"/>
        <v>-6.818181818181813</v>
      </c>
      <c r="DD80" s="23">
        <f>DA80*100/CT80-100</f>
        <v>5.725059993143631</v>
      </c>
      <c r="DE80" s="23">
        <f t="shared" si="334"/>
        <v>-1.274724117042851</v>
      </c>
      <c r="DF80" s="8"/>
      <c r="DG80" s="20">
        <v>107</v>
      </c>
      <c r="DH80" s="10">
        <v>295.7</v>
      </c>
      <c r="DI80" s="11">
        <v>31230</v>
      </c>
      <c r="DJ80" s="23">
        <f t="shared" si="335"/>
        <v>-13.00813008130082</v>
      </c>
      <c r="DK80" s="23">
        <f>DH80*100/DA80-100</f>
        <v>-4.118028534370936</v>
      </c>
      <c r="DL80" s="23">
        <f t="shared" si="336"/>
        <v>-16.68667466986794</v>
      </c>
      <c r="DM80" s="8"/>
      <c r="DN80" s="20">
        <v>94</v>
      </c>
      <c r="DO80" s="10">
        <v>285.5</v>
      </c>
      <c r="DP80" s="11">
        <v>26840</v>
      </c>
      <c r="DQ80" s="23">
        <f t="shared" si="337"/>
        <v>-12.149532710280369</v>
      </c>
      <c r="DR80" s="23">
        <f>DO80*100/DH80-100</f>
        <v>-3.4494420020290733</v>
      </c>
      <c r="DS80" s="23">
        <f t="shared" si="338"/>
        <v>-14.056996477745756</v>
      </c>
      <c r="DT80" s="8"/>
      <c r="DU80" s="20">
        <v>82</v>
      </c>
      <c r="DV80" s="10">
        <v>272.7</v>
      </c>
      <c r="DW80" s="11">
        <v>22360</v>
      </c>
      <c r="DX80" s="23">
        <f t="shared" si="339"/>
        <v>-12.765957446808514</v>
      </c>
      <c r="DY80" s="23">
        <f>DV80*100/DO80-100</f>
        <v>-4.483362521891422</v>
      </c>
      <c r="DZ80" s="23">
        <f t="shared" si="340"/>
        <v>-16.69150521609538</v>
      </c>
      <c r="EA80" s="8"/>
      <c r="EB80" s="20">
        <v>75</v>
      </c>
      <c r="EC80" s="10">
        <v>282</v>
      </c>
      <c r="ED80" s="11">
        <v>21150</v>
      </c>
      <c r="EE80" s="23">
        <f t="shared" si="341"/>
        <v>-8.536585365853654</v>
      </c>
      <c r="EF80" s="23">
        <f>EC80*100/DV80-100</f>
        <v>3.4103410341034106</v>
      </c>
      <c r="EG80" s="23">
        <f t="shared" si="342"/>
        <v>-5.411449016100178</v>
      </c>
      <c r="EH80" s="8"/>
      <c r="EI80" s="20">
        <v>65</v>
      </c>
      <c r="EJ80" s="10">
        <v>293.9</v>
      </c>
      <c r="EK80" s="11">
        <v>19105</v>
      </c>
      <c r="EL80" s="23">
        <f t="shared" si="343"/>
        <v>-13.333333333333329</v>
      </c>
      <c r="EM80" s="23">
        <f>EJ80*100/EC80-100</f>
        <v>4.2198581560283515</v>
      </c>
      <c r="EN80" s="23">
        <f t="shared" si="344"/>
        <v>-9.66903073286052</v>
      </c>
      <c r="EO80" s="8"/>
      <c r="EP80" s="20">
        <v>66</v>
      </c>
      <c r="EQ80" s="10">
        <v>341.7</v>
      </c>
      <c r="ER80" s="11">
        <v>22550</v>
      </c>
      <c r="ES80" s="23">
        <f t="shared" si="345"/>
        <v>1.538461538461533</v>
      </c>
      <c r="ET80" s="23">
        <f>EQ80*100/EJ80-100</f>
        <v>16.264035386185782</v>
      </c>
      <c r="EU80" s="23">
        <f t="shared" si="346"/>
        <v>18.031928814446474</v>
      </c>
      <c r="EV80" s="8"/>
      <c r="EW80" s="20">
        <v>59</v>
      </c>
      <c r="EX80" s="10">
        <f t="shared" si="265"/>
        <v>330.6779661016949</v>
      </c>
      <c r="EY80" s="11">
        <v>19510</v>
      </c>
      <c r="EZ80" s="11">
        <v>19510</v>
      </c>
      <c r="FA80" s="23">
        <f t="shared" si="198"/>
        <v>-10.606060606060609</v>
      </c>
      <c r="FB80" s="23">
        <f>EX80*100/EQ80-100</f>
        <v>-3.2256464437533197</v>
      </c>
      <c r="FC80" s="23">
        <f t="shared" si="199"/>
        <v>-13.481152993348118</v>
      </c>
      <c r="FD80" s="8"/>
      <c r="FE80" s="20">
        <v>51</v>
      </c>
      <c r="FF80" s="10">
        <f t="shared" si="229"/>
        <v>324.4117647058824</v>
      </c>
      <c r="FG80" s="11">
        <v>16545</v>
      </c>
      <c r="FH80" s="11">
        <v>16545</v>
      </c>
      <c r="FI80" s="23">
        <f t="shared" si="266"/>
        <v>-13.559322033898312</v>
      </c>
      <c r="FJ80" s="23">
        <f t="shared" si="271"/>
        <v>-1.8949558295896338</v>
      </c>
      <c r="FK80" s="23">
        <f t="shared" si="271"/>
        <v>-15.19733470015376</v>
      </c>
      <c r="FL80" s="23">
        <f t="shared" si="267"/>
        <v>-15.19733470015376</v>
      </c>
      <c r="FM80" s="23"/>
      <c r="FN80" s="20">
        <v>45</v>
      </c>
      <c r="FO80" s="10">
        <f t="shared" si="220"/>
        <v>310</v>
      </c>
      <c r="FP80" s="11">
        <v>13950</v>
      </c>
      <c r="FQ80" s="11">
        <v>13950</v>
      </c>
      <c r="FR80" s="23">
        <f>FN80*100/FE80-100</f>
        <v>-11.764705882352942</v>
      </c>
      <c r="FS80" s="23">
        <f>FO80*100/FF80-100</f>
        <v>-4.442429737080701</v>
      </c>
      <c r="FT80" s="23">
        <f t="shared" si="368"/>
        <v>-15.684496826835897</v>
      </c>
      <c r="FU80" s="23">
        <f t="shared" si="368"/>
        <v>-15.684496826835897</v>
      </c>
      <c r="FV80" s="23"/>
      <c r="FW80" s="20">
        <v>43</v>
      </c>
      <c r="FX80" s="10">
        <f>FY80/FW80</f>
        <v>313.72093023255815</v>
      </c>
      <c r="FY80" s="20">
        <v>13490</v>
      </c>
      <c r="FZ80" s="20">
        <v>13490</v>
      </c>
      <c r="GA80" s="23">
        <f aca="true" t="shared" si="369" ref="GA80:GD81">FW80*100/FN80-100</f>
        <v>-4.444444444444443</v>
      </c>
      <c r="GB80" s="23">
        <f t="shared" si="369"/>
        <v>1.2003000750187454</v>
      </c>
      <c r="GC80" s="23">
        <f t="shared" si="369"/>
        <v>-3.297491039426518</v>
      </c>
      <c r="GD80" s="23">
        <f t="shared" si="369"/>
        <v>-3.297491039426518</v>
      </c>
      <c r="GE80" s="23"/>
      <c r="GF80" s="20">
        <v>43</v>
      </c>
      <c r="GG80" s="10">
        <f>GH80/GF80</f>
        <v>316.27906976744185</v>
      </c>
      <c r="GH80" s="20">
        <v>13600</v>
      </c>
      <c r="GI80" s="20">
        <v>13600</v>
      </c>
      <c r="GJ80" s="23">
        <f t="shared" si="300"/>
        <v>0</v>
      </c>
      <c r="GK80" s="23">
        <f t="shared" si="300"/>
        <v>0.8154188287620485</v>
      </c>
      <c r="GL80" s="23">
        <f t="shared" si="363"/>
        <v>0.8154188287620485</v>
      </c>
      <c r="GM80" s="23">
        <f t="shared" si="363"/>
        <v>0.8154188287620485</v>
      </c>
      <c r="GN80" s="23"/>
      <c r="GO80" s="20">
        <v>35</v>
      </c>
      <c r="GP80" s="10">
        <f>GQ80/GO80</f>
        <v>320</v>
      </c>
      <c r="GQ80" s="20">
        <v>11200</v>
      </c>
      <c r="GR80" s="20">
        <v>11200</v>
      </c>
      <c r="GS80" s="23">
        <f t="shared" si="301"/>
        <v>-18.604651162790702</v>
      </c>
      <c r="GT80" s="23">
        <f t="shared" si="301"/>
        <v>1.17647058823529</v>
      </c>
      <c r="GU80" s="23">
        <f t="shared" si="364"/>
        <v>-17.647058823529406</v>
      </c>
      <c r="GV80" s="23">
        <f t="shared" si="365"/>
        <v>-17.647058823529406</v>
      </c>
      <c r="GW80" s="23"/>
      <c r="GX80" s="20">
        <v>70</v>
      </c>
      <c r="GY80" s="10">
        <f>GZ80/GX80</f>
        <v>287.14285714285717</v>
      </c>
      <c r="GZ80" s="20">
        <v>20100</v>
      </c>
      <c r="HA80" s="20">
        <v>20100</v>
      </c>
      <c r="HB80" s="23">
        <f t="shared" si="302"/>
        <v>100</v>
      </c>
      <c r="HC80" s="23">
        <f>GY80*100/GP80-100</f>
        <v>-10.267857142857139</v>
      </c>
      <c r="HD80" s="23">
        <f t="shared" si="366"/>
        <v>79.46428571428572</v>
      </c>
      <c r="HE80" s="23">
        <f t="shared" si="367"/>
        <v>79.46428571428572</v>
      </c>
      <c r="HF80" s="23"/>
      <c r="HG80" s="20">
        <v>80</v>
      </c>
      <c r="HH80" s="10">
        <f>HI80/HG80</f>
        <v>280.375</v>
      </c>
      <c r="HI80" s="20">
        <v>22430</v>
      </c>
      <c r="HJ80" s="20">
        <v>22430</v>
      </c>
      <c r="HK80" s="23">
        <f t="shared" si="304"/>
        <v>14.285714285714292</v>
      </c>
      <c r="HL80" s="23">
        <f>HH80*100/GY80-100</f>
        <v>-2.356965174129357</v>
      </c>
      <c r="HM80" s="23">
        <f t="shared" si="105"/>
        <v>11.592039800995025</v>
      </c>
      <c r="HN80" s="23">
        <f t="shared" si="106"/>
        <v>11.592039800995025</v>
      </c>
      <c r="HO80" s="23"/>
      <c r="HP80" s="20">
        <v>108</v>
      </c>
      <c r="HQ80" s="10">
        <f>HR80/HP80</f>
        <v>270</v>
      </c>
      <c r="HR80" s="20">
        <v>29160</v>
      </c>
      <c r="HS80" s="20">
        <v>29160</v>
      </c>
      <c r="HT80" s="23">
        <f t="shared" si="306"/>
        <v>35</v>
      </c>
      <c r="HU80" s="23">
        <f>HQ80*100/HH80-100</f>
        <v>-3.7004012483281343</v>
      </c>
      <c r="HV80" s="23">
        <f t="shared" si="64"/>
        <v>30.004458314757017</v>
      </c>
      <c r="HW80" s="23">
        <f t="shared" si="65"/>
        <v>30.004458314757017</v>
      </c>
      <c r="HX80" s="23"/>
      <c r="HY80" s="20">
        <v>110</v>
      </c>
      <c r="HZ80" s="10">
        <f>IA80/HY80</f>
        <v>336.8181818181818</v>
      </c>
      <c r="IA80" s="20">
        <v>37050</v>
      </c>
      <c r="IB80" s="20">
        <v>37050</v>
      </c>
      <c r="IC80" s="23">
        <f t="shared" si="308"/>
        <v>1.8518518518518476</v>
      </c>
      <c r="ID80" s="23">
        <f>HZ80*100/HQ80-100</f>
        <v>24.747474747474755</v>
      </c>
      <c r="IE80" s="23">
        <f t="shared" si="309"/>
        <v>27.057613168724274</v>
      </c>
      <c r="IF80" s="23">
        <f t="shared" si="310"/>
        <v>27.057613168724274</v>
      </c>
      <c r="IG80" s="23"/>
      <c r="IH80" s="1" t="s">
        <v>76</v>
      </c>
      <c r="II80" s="29">
        <f t="shared" si="357"/>
        <v>55.7</v>
      </c>
      <c r="IJ80" s="30">
        <f t="shared" si="358"/>
        <v>311.82075879504345</v>
      </c>
      <c r="IK80" s="29">
        <f t="shared" si="359"/>
        <v>17248</v>
      </c>
      <c r="IL80" s="25">
        <f t="shared" si="360"/>
        <v>93.89587073608615</v>
      </c>
      <c r="IM80" s="25">
        <f t="shared" si="361"/>
        <v>-13.411794313069393</v>
      </c>
      <c r="IN80" s="25">
        <f t="shared" si="362"/>
        <v>69.06307977736549</v>
      </c>
      <c r="IP80" s="30">
        <f>HP80*100/Italia!BR80</f>
        <v>1.1896893588896233</v>
      </c>
      <c r="IQ80" s="30">
        <f>HR80*100/Italia!BT80</f>
        <v>1.4487936408094761</v>
      </c>
      <c r="IR80" s="30">
        <f>HS80*100/Italia!BU80</f>
        <v>1.565455192603063</v>
      </c>
    </row>
    <row r="81" spans="1:252" ht="12">
      <c r="A81" s="1" t="s">
        <v>77</v>
      </c>
      <c r="B81" s="22">
        <v>35.52</v>
      </c>
      <c r="C81" s="10">
        <v>429.3</v>
      </c>
      <c r="D81" s="11">
        <v>15033</v>
      </c>
      <c r="E81" s="9"/>
      <c r="F81" s="22">
        <v>52.36</v>
      </c>
      <c r="G81" s="10">
        <v>414.2</v>
      </c>
      <c r="H81" s="11">
        <v>21275</v>
      </c>
      <c r="I81" s="23">
        <f t="shared" si="349"/>
        <v>47.409909909909885</v>
      </c>
      <c r="J81" s="23">
        <f>G81*100/C81-100</f>
        <v>-3.51735383181925</v>
      </c>
      <c r="K81" s="23">
        <f t="shared" si="350"/>
        <v>41.521984966407246</v>
      </c>
      <c r="L81" s="8"/>
      <c r="M81" s="22">
        <v>45.83</v>
      </c>
      <c r="N81" s="10">
        <f>20367/M81</f>
        <v>444.4032293257692</v>
      </c>
      <c r="O81" s="11">
        <v>20056</v>
      </c>
      <c r="P81" s="23">
        <f t="shared" si="351"/>
        <v>-12.471352177234536</v>
      </c>
      <c r="Q81" s="23">
        <f>N81*100/G81-100</f>
        <v>7.291943342773834</v>
      </c>
      <c r="R81" s="23">
        <f t="shared" si="352"/>
        <v>-5.729729729729726</v>
      </c>
      <c r="S81" s="8"/>
      <c r="T81" s="22">
        <v>36.93</v>
      </c>
      <c r="U81" s="10">
        <v>544.3</v>
      </c>
      <c r="V81" s="11">
        <v>19827</v>
      </c>
      <c r="W81" s="23">
        <f t="shared" si="311"/>
        <v>-19.419594152301983</v>
      </c>
      <c r="X81" s="23">
        <f>U81*100/N81-100</f>
        <v>22.47885795649823</v>
      </c>
      <c r="Y81" s="23">
        <f t="shared" si="312"/>
        <v>-1.1418029517351442</v>
      </c>
      <c r="Z81" s="8"/>
      <c r="AA81" s="22">
        <v>35.38</v>
      </c>
      <c r="AB81" s="10">
        <f>19647/AA81</f>
        <v>555.3137365743357</v>
      </c>
      <c r="AC81" s="11">
        <v>19532</v>
      </c>
      <c r="AD81" s="23">
        <f t="shared" si="313"/>
        <v>-4.197129704847001</v>
      </c>
      <c r="AE81" s="23">
        <f>AB81*100/U81-100</f>
        <v>2.0234680459922316</v>
      </c>
      <c r="AF81" s="23">
        <f t="shared" si="314"/>
        <v>-1.4878700761587709</v>
      </c>
      <c r="AG81" s="8"/>
      <c r="AH81" s="22">
        <v>35.28</v>
      </c>
      <c r="AI81" s="10">
        <f>16077/AH81</f>
        <v>455.69727891156464</v>
      </c>
      <c r="AJ81" s="11">
        <v>16060</v>
      </c>
      <c r="AK81" s="23">
        <f t="shared" si="315"/>
        <v>-0.28264556246467976</v>
      </c>
      <c r="AL81" s="23">
        <f>AI81*100/AB81-100</f>
        <v>-17.93877066274159</v>
      </c>
      <c r="AM81" s="23">
        <f t="shared" si="316"/>
        <v>-17.775957403235722</v>
      </c>
      <c r="AN81" s="8"/>
      <c r="AO81" s="22">
        <v>30.78</v>
      </c>
      <c r="AP81" s="10">
        <f>14209/AO81</f>
        <v>461.63092917478883</v>
      </c>
      <c r="AQ81" s="11">
        <v>14201</v>
      </c>
      <c r="AR81" s="23">
        <f t="shared" si="317"/>
        <v>-12.755102040816325</v>
      </c>
      <c r="AS81" s="23">
        <f>AP81*100/AI81-100</f>
        <v>1.3021035098995384</v>
      </c>
      <c r="AT81" s="23">
        <f t="shared" si="318"/>
        <v>-11.575342465753423</v>
      </c>
      <c r="AU81" s="8"/>
      <c r="AV81" s="22">
        <v>29.43</v>
      </c>
      <c r="AW81" s="10">
        <f>12562/AV81</f>
        <v>426.8433571185865</v>
      </c>
      <c r="AX81" s="11">
        <v>12552</v>
      </c>
      <c r="AY81" s="23">
        <f t="shared" si="319"/>
        <v>-4.3859649122806985</v>
      </c>
      <c r="AZ81" s="23">
        <f>AW81*100/AP81-100</f>
        <v>-7.535797507846496</v>
      </c>
      <c r="BA81" s="23">
        <f t="shared" si="320"/>
        <v>-11.611858319836628</v>
      </c>
      <c r="BB81" s="8"/>
      <c r="BC81" s="22">
        <v>28.33</v>
      </c>
      <c r="BD81" s="10">
        <f>BE81/BC81</f>
        <v>574.3734557006707</v>
      </c>
      <c r="BE81" s="11">
        <v>16272</v>
      </c>
      <c r="BF81" s="23">
        <f t="shared" si="321"/>
        <v>-3.7376826367652</v>
      </c>
      <c r="BG81" s="23">
        <f>BD81*100/AW81-100</f>
        <v>34.56305366399249</v>
      </c>
      <c r="BH81" s="23">
        <f t="shared" si="322"/>
        <v>29.636711281070745</v>
      </c>
      <c r="BI81" s="8"/>
      <c r="BJ81" s="22">
        <v>29.65</v>
      </c>
      <c r="BK81" s="10">
        <f>18751/BJ81</f>
        <v>632.4114671163576</v>
      </c>
      <c r="BL81" s="11">
        <v>18601</v>
      </c>
      <c r="BM81" s="23">
        <f t="shared" si="353"/>
        <v>4.659371690787154</v>
      </c>
      <c r="BN81" s="23">
        <f>BK81*100/BD81-100</f>
        <v>10.104577577473023</v>
      </c>
      <c r="BO81" s="23">
        <f t="shared" si="323"/>
        <v>14.31293018682399</v>
      </c>
      <c r="BP81" s="8"/>
      <c r="BQ81" s="22">
        <v>32.85</v>
      </c>
      <c r="BR81" s="10">
        <f>18030/BQ81</f>
        <v>548.8584474885845</v>
      </c>
      <c r="BS81" s="11">
        <v>17788</v>
      </c>
      <c r="BT81" s="23">
        <f t="shared" si="354"/>
        <v>10.792580101180448</v>
      </c>
      <c r="BU81" s="23">
        <f>BR81*100/BK81-100</f>
        <v>-13.211812873785249</v>
      </c>
      <c r="BV81" s="23">
        <f t="shared" si="324"/>
        <v>-4.3707327563034255</v>
      </c>
      <c r="BW81" s="8"/>
      <c r="BX81" s="22">
        <v>29.4</v>
      </c>
      <c r="BY81" s="10">
        <f>14417/BX81</f>
        <v>490.374149659864</v>
      </c>
      <c r="BZ81" s="11">
        <v>14173</v>
      </c>
      <c r="CA81" s="23">
        <f t="shared" si="325"/>
        <v>-10.50228310502284</v>
      </c>
      <c r="CB81" s="23">
        <f>BY81*100/BR81-100</f>
        <v>-10.65562497877687</v>
      </c>
      <c r="CC81" s="23">
        <f t="shared" si="326"/>
        <v>-20.322689453564195</v>
      </c>
      <c r="CD81" s="8"/>
      <c r="CE81" s="22">
        <v>29</v>
      </c>
      <c r="CF81" s="10">
        <v>507.5</v>
      </c>
      <c r="CG81" s="11">
        <v>14473</v>
      </c>
      <c r="CH81" s="23">
        <f t="shared" si="327"/>
        <v>-1.360544217687064</v>
      </c>
      <c r="CI81" s="23">
        <f>CF81*100/BY81-100</f>
        <v>3.492404799889016</v>
      </c>
      <c r="CJ81" s="23">
        <f t="shared" si="328"/>
        <v>2.116700769067947</v>
      </c>
      <c r="CK81" s="8"/>
      <c r="CL81" s="22">
        <v>26.9</v>
      </c>
      <c r="CM81" s="10">
        <v>460</v>
      </c>
      <c r="CN81" s="11">
        <v>12712</v>
      </c>
      <c r="CO81" s="23">
        <f t="shared" si="329"/>
        <v>-7.241379310344826</v>
      </c>
      <c r="CP81" s="23">
        <f>CM81*100/CF81-100</f>
        <v>-9.35960591133005</v>
      </c>
      <c r="CQ81" s="23">
        <f t="shared" si="330"/>
        <v>-12.167484281075104</v>
      </c>
      <c r="CR81" s="8"/>
      <c r="CS81" s="22">
        <v>26.9</v>
      </c>
      <c r="CT81" s="10">
        <f>12697/CS81</f>
        <v>472.00743494423796</v>
      </c>
      <c r="CU81" s="11">
        <v>12455</v>
      </c>
      <c r="CV81" s="23">
        <f t="shared" si="331"/>
        <v>0</v>
      </c>
      <c r="CW81" s="23">
        <f>CT81*100/CM81-100</f>
        <v>2.6103119443995553</v>
      </c>
      <c r="CX81" s="23">
        <f t="shared" si="332"/>
        <v>-2.0217117684077976</v>
      </c>
      <c r="CY81" s="8"/>
      <c r="CZ81" s="22">
        <v>21.3</v>
      </c>
      <c r="DA81" s="10">
        <f>14234/CZ81</f>
        <v>668.262910798122</v>
      </c>
      <c r="DB81" s="11">
        <v>14049</v>
      </c>
      <c r="DC81" s="23">
        <f t="shared" si="333"/>
        <v>-20.817843866171003</v>
      </c>
      <c r="DD81" s="23">
        <f>DA81*100/CT81-100</f>
        <v>41.57889501826796</v>
      </c>
      <c r="DE81" s="23">
        <f t="shared" si="334"/>
        <v>12.79807306302689</v>
      </c>
      <c r="DF81" s="8"/>
      <c r="DG81" s="22">
        <v>36.9</v>
      </c>
      <c r="DH81" s="10">
        <f>17170/DG81</f>
        <v>465.3116531165312</v>
      </c>
      <c r="DI81" s="11">
        <v>16900</v>
      </c>
      <c r="DJ81" s="23">
        <f t="shared" si="335"/>
        <v>73.2394366197183</v>
      </c>
      <c r="DK81" s="23">
        <f>DH81*100/DA81-100</f>
        <v>-30.369971818307462</v>
      </c>
      <c r="DL81" s="23">
        <f t="shared" si="336"/>
        <v>20.293259306712216</v>
      </c>
      <c r="DM81" s="8"/>
      <c r="DN81" s="22">
        <v>23.9</v>
      </c>
      <c r="DO81" s="10">
        <f>10130/DN81</f>
        <v>423.8493723849373</v>
      </c>
      <c r="DP81" s="11">
        <v>9982</v>
      </c>
      <c r="DQ81" s="23">
        <f t="shared" si="337"/>
        <v>-35.230352303523034</v>
      </c>
      <c r="DR81" s="23">
        <f>DO81*100/DH81-100</f>
        <v>-8.910647402421745</v>
      </c>
      <c r="DS81" s="23">
        <f t="shared" si="338"/>
        <v>-40.93491124260355</v>
      </c>
      <c r="DT81" s="8"/>
      <c r="DU81" s="22">
        <v>29.4</v>
      </c>
      <c r="DV81" s="10">
        <f>17234/DU81</f>
        <v>586.1904761904763</v>
      </c>
      <c r="DW81" s="11">
        <v>17084</v>
      </c>
      <c r="DX81" s="23">
        <f t="shared" si="339"/>
        <v>23.01255230125524</v>
      </c>
      <c r="DY81" s="23">
        <f>DV81*100/DO81-100</f>
        <v>38.30160297090208</v>
      </c>
      <c r="DZ81" s="23">
        <f t="shared" si="340"/>
        <v>71.14806651973552</v>
      </c>
      <c r="EA81" s="8"/>
      <c r="EB81" s="22">
        <v>28.9</v>
      </c>
      <c r="EC81" s="10">
        <f>18470/EB81</f>
        <v>639.1003460207613</v>
      </c>
      <c r="ED81" s="11">
        <v>18320</v>
      </c>
      <c r="EE81" s="23">
        <f t="shared" si="341"/>
        <v>-1.7006802721088405</v>
      </c>
      <c r="EF81" s="23">
        <f>EC81*100/DV81-100</f>
        <v>9.026054154638402</v>
      </c>
      <c r="EG81" s="23">
        <f t="shared" si="342"/>
        <v>7.23483961601498</v>
      </c>
      <c r="EH81" s="8"/>
      <c r="EI81" s="22">
        <v>27.1</v>
      </c>
      <c r="EJ81" s="10">
        <f>15710/EI81</f>
        <v>579.7047970479705</v>
      </c>
      <c r="EK81" s="11">
        <v>15560</v>
      </c>
      <c r="EL81" s="23">
        <f t="shared" si="343"/>
        <v>-6.228373702422147</v>
      </c>
      <c r="EM81" s="23">
        <f>EJ81*100/EC81-100</f>
        <v>-9.293618653566085</v>
      </c>
      <c r="EN81" s="23">
        <f t="shared" si="344"/>
        <v>-15.06550218340611</v>
      </c>
      <c r="EO81" s="8"/>
      <c r="EP81" s="22">
        <v>30.7</v>
      </c>
      <c r="EQ81" s="10">
        <f>15165/EP81</f>
        <v>493.9739413680782</v>
      </c>
      <c r="ER81" s="11">
        <v>15015</v>
      </c>
      <c r="ES81" s="23">
        <f t="shared" si="345"/>
        <v>13.2841328413284</v>
      </c>
      <c r="ET81" s="23">
        <f>EQ81*100/EJ81-100</f>
        <v>-14.7887090319865</v>
      </c>
      <c r="EU81" s="23">
        <f t="shared" si="346"/>
        <v>-3.50257069408741</v>
      </c>
      <c r="EV81" s="8"/>
      <c r="EW81" s="22">
        <v>28.43</v>
      </c>
      <c r="EX81" s="10">
        <f t="shared" si="265"/>
        <v>525.2901864227929</v>
      </c>
      <c r="EY81" s="11">
        <v>14934</v>
      </c>
      <c r="EZ81" s="11">
        <v>14134</v>
      </c>
      <c r="FA81" s="23">
        <f t="shared" si="198"/>
        <v>-7.394136807817588</v>
      </c>
      <c r="FB81" s="23">
        <f>EX81*100/EQ81-100</f>
        <v>6.33965527978728</v>
      </c>
      <c r="FC81" s="23">
        <f t="shared" si="199"/>
        <v>-5.867465867465867</v>
      </c>
      <c r="FD81" s="8"/>
      <c r="FE81" s="22">
        <v>28</v>
      </c>
      <c r="FF81" s="10">
        <f t="shared" si="229"/>
        <v>532.8571428571429</v>
      </c>
      <c r="FG81" s="11">
        <v>14920</v>
      </c>
      <c r="FH81" s="11">
        <v>14920</v>
      </c>
      <c r="FI81" s="23">
        <f t="shared" si="266"/>
        <v>-1.5124868097080508</v>
      </c>
      <c r="FJ81" s="23">
        <f t="shared" si="271"/>
        <v>1.440528802923339</v>
      </c>
      <c r="FK81" s="23">
        <f t="shared" si="271"/>
        <v>-0.09374581491897516</v>
      </c>
      <c r="FL81" s="23">
        <f t="shared" si="267"/>
        <v>5.561058440639599</v>
      </c>
      <c r="FM81" s="23"/>
      <c r="FN81" s="22">
        <v>27.5</v>
      </c>
      <c r="FO81" s="10">
        <f t="shared" si="220"/>
        <v>514</v>
      </c>
      <c r="FP81" s="11">
        <v>14135</v>
      </c>
      <c r="FQ81" s="11">
        <v>14135</v>
      </c>
      <c r="FR81" s="23">
        <f>FN81*100/FE81-100</f>
        <v>-1.7857142857142918</v>
      </c>
      <c r="FS81" s="23">
        <f>FO81*100/FF81-100</f>
        <v>-3.538873994638081</v>
      </c>
      <c r="FT81" s="23">
        <f t="shared" si="368"/>
        <v>-5.261394101876675</v>
      </c>
      <c r="FU81" s="23">
        <f t="shared" si="368"/>
        <v>-5.261394101876675</v>
      </c>
      <c r="FV81" s="23"/>
      <c r="FW81" s="22">
        <v>25.84</v>
      </c>
      <c r="FX81" s="10">
        <f>FY81/FW81</f>
        <v>513.6996904024768</v>
      </c>
      <c r="FY81" s="20">
        <v>13274</v>
      </c>
      <c r="FZ81" s="20">
        <v>13274</v>
      </c>
      <c r="GA81" s="23">
        <f t="shared" si="369"/>
        <v>-6.036363636363632</v>
      </c>
      <c r="GB81" s="23">
        <f t="shared" si="369"/>
        <v>-0.058425991736029914</v>
      </c>
      <c r="GC81" s="23">
        <f t="shared" si="369"/>
        <v>-6.091262822780337</v>
      </c>
      <c r="GD81" s="23">
        <f t="shared" si="369"/>
        <v>-6.091262822780337</v>
      </c>
      <c r="GE81" s="23"/>
      <c r="GF81" s="22">
        <v>26.85</v>
      </c>
      <c r="GG81" s="10">
        <f>GH81/GF81</f>
        <v>476.53631284916196</v>
      </c>
      <c r="GH81" s="20">
        <v>12795</v>
      </c>
      <c r="GI81" s="20">
        <v>12795</v>
      </c>
      <c r="GJ81" s="23">
        <f t="shared" si="300"/>
        <v>3.908668730650149</v>
      </c>
      <c r="GK81" s="23">
        <f t="shared" si="300"/>
        <v>-7.234455898581089</v>
      </c>
      <c r="GL81" s="23">
        <f t="shared" si="363"/>
        <v>-3.6085580834714506</v>
      </c>
      <c r="GM81" s="23">
        <f t="shared" si="363"/>
        <v>-3.6085580834714506</v>
      </c>
      <c r="GN81" s="23"/>
      <c r="GO81" s="22">
        <v>17</v>
      </c>
      <c r="GP81" s="10">
        <f>GQ81/GO81</f>
        <v>312.3529411764706</v>
      </c>
      <c r="GQ81" s="20">
        <v>5310</v>
      </c>
      <c r="GR81" s="20">
        <v>5310</v>
      </c>
      <c r="GS81" s="23">
        <f t="shared" si="301"/>
        <v>-36.68528864059591</v>
      </c>
      <c r="GT81" s="23">
        <f t="shared" si="301"/>
        <v>-34.45348596648506</v>
      </c>
      <c r="GU81" s="23">
        <f t="shared" si="364"/>
        <v>-58.49941383352872</v>
      </c>
      <c r="GV81" s="23">
        <f t="shared" si="365"/>
        <v>-58.49941383352872</v>
      </c>
      <c r="GW81" s="23"/>
      <c r="GX81" s="22">
        <v>11.22</v>
      </c>
      <c r="GY81" s="10">
        <f>GZ81/GX81</f>
        <v>325.3119429590018</v>
      </c>
      <c r="GZ81" s="20">
        <v>3650</v>
      </c>
      <c r="HA81" s="20">
        <v>3650</v>
      </c>
      <c r="HB81" s="23">
        <f t="shared" si="302"/>
        <v>-34</v>
      </c>
      <c r="HC81" s="23">
        <f>GY81*100/GP81-100</f>
        <v>4.148832962392277</v>
      </c>
      <c r="HD81" s="23">
        <f t="shared" si="366"/>
        <v>-31.261770244821093</v>
      </c>
      <c r="HE81" s="23">
        <f t="shared" si="367"/>
        <v>-31.261770244821093</v>
      </c>
      <c r="HF81" s="23"/>
      <c r="HG81" s="22">
        <v>10.52</v>
      </c>
      <c r="HH81" s="10">
        <f>HI81/HG81</f>
        <v>330.7984790874525</v>
      </c>
      <c r="HI81" s="20">
        <v>3480</v>
      </c>
      <c r="HJ81" s="20">
        <v>3480</v>
      </c>
      <c r="HK81" s="23">
        <f t="shared" si="304"/>
        <v>-6.238859180035661</v>
      </c>
      <c r="HL81" s="23">
        <f>HH81*100/GY81-100</f>
        <v>1.6865461742799255</v>
      </c>
      <c r="HM81" s="23">
        <f t="shared" si="105"/>
        <v>-4.657534246575338</v>
      </c>
      <c r="HN81" s="23">
        <f t="shared" si="106"/>
        <v>-4.657534246575338</v>
      </c>
      <c r="HO81" s="23"/>
      <c r="HP81" s="22">
        <v>11.2</v>
      </c>
      <c r="HQ81" s="10">
        <f>HR81/HP81</f>
        <v>358.2142857142857</v>
      </c>
      <c r="HR81" s="20">
        <v>4012</v>
      </c>
      <c r="HS81" s="20">
        <v>4012</v>
      </c>
      <c r="HT81" s="23">
        <f t="shared" si="306"/>
        <v>6.463878326996209</v>
      </c>
      <c r="HU81" s="23">
        <f>HQ81*100/HH81-100</f>
        <v>8.287766830870268</v>
      </c>
      <c r="HV81" s="23">
        <f t="shared" si="64"/>
        <v>15.287356321839084</v>
      </c>
      <c r="HW81" s="23">
        <f t="shared" si="65"/>
        <v>15.287356321839084</v>
      </c>
      <c r="HX81" s="23"/>
      <c r="HY81" s="22"/>
      <c r="HZ81" s="10" t="e">
        <f>IA81/HY81</f>
        <v>#DIV/0!</v>
      </c>
      <c r="IA81" s="20"/>
      <c r="IB81" s="20"/>
      <c r="IC81" s="23">
        <f t="shared" si="308"/>
        <v>-100</v>
      </c>
      <c r="ID81" s="23" t="e">
        <f>HZ81*100/HQ81-100</f>
        <v>#DIV/0!</v>
      </c>
      <c r="IE81" s="23">
        <f t="shared" si="309"/>
        <v>-100</v>
      </c>
      <c r="IF81" s="23">
        <f t="shared" si="310"/>
        <v>-100</v>
      </c>
      <c r="IG81" s="23"/>
      <c r="IH81" s="1" t="s">
        <v>77</v>
      </c>
      <c r="II81" s="29">
        <f t="shared" si="357"/>
        <v>23.316</v>
      </c>
      <c r="IJ81" s="30">
        <f t="shared" si="358"/>
        <v>460.45254341705487</v>
      </c>
      <c r="IK81" s="29">
        <f t="shared" si="359"/>
        <v>11227.3</v>
      </c>
      <c r="IL81" s="25">
        <f t="shared" si="360"/>
        <v>-51.96431634928804</v>
      </c>
      <c r="IM81" s="25">
        <f t="shared" si="361"/>
        <v>-22.203864255814707</v>
      </c>
      <c r="IN81" s="25">
        <f t="shared" si="362"/>
        <v>-64.26567384856554</v>
      </c>
      <c r="IP81" s="30">
        <f>HP81*100/Italia!BR81</f>
        <v>0.45836829073645874</v>
      </c>
      <c r="IQ81" s="30">
        <f>HR81*100/Italia!BT81</f>
        <v>0.4046957619920877</v>
      </c>
      <c r="IR81" s="30">
        <f>HS81*100/Italia!BU81</f>
        <v>0.4152156026680604</v>
      </c>
    </row>
    <row r="82" spans="1:252" ht="12">
      <c r="A82" s="1" t="s">
        <v>78</v>
      </c>
      <c r="B82" s="19">
        <f>B81+B80</f>
        <v>280.52</v>
      </c>
      <c r="C82" s="6" t="s">
        <v>1</v>
      </c>
      <c r="D82" s="9">
        <f>D81+D80</f>
        <v>69333</v>
      </c>
      <c r="E82" s="9"/>
      <c r="F82" s="19">
        <f>F80+F81</f>
        <v>317.36</v>
      </c>
      <c r="G82" s="6" t="s">
        <v>1</v>
      </c>
      <c r="H82" s="9">
        <f>H81+H80</f>
        <v>87375</v>
      </c>
      <c r="I82" s="23">
        <f t="shared" si="349"/>
        <v>13.13275345786397</v>
      </c>
      <c r="J82" s="24" t="s">
        <v>1</v>
      </c>
      <c r="K82" s="23">
        <f t="shared" si="350"/>
        <v>26.022240491540828</v>
      </c>
      <c r="L82" s="8"/>
      <c r="M82" s="19">
        <f>M80+M81</f>
        <v>293.83</v>
      </c>
      <c r="N82" s="6" t="s">
        <v>1</v>
      </c>
      <c r="O82" s="9">
        <f>O81+O80</f>
        <v>93556</v>
      </c>
      <c r="P82" s="23">
        <f t="shared" si="351"/>
        <v>-7.414292916561635</v>
      </c>
      <c r="Q82" s="24" t="s">
        <v>1</v>
      </c>
      <c r="R82" s="23">
        <f t="shared" si="352"/>
        <v>7.074105865522171</v>
      </c>
      <c r="S82" s="8"/>
      <c r="T82" s="19">
        <f>T80+T81</f>
        <v>269.93</v>
      </c>
      <c r="U82" s="6" t="s">
        <v>1</v>
      </c>
      <c r="V82" s="9">
        <f>V81+V80</f>
        <v>88427</v>
      </c>
      <c r="W82" s="23">
        <f t="shared" si="311"/>
        <v>-8.133955007997812</v>
      </c>
      <c r="X82" s="24" t="s">
        <v>1</v>
      </c>
      <c r="Y82" s="23">
        <f t="shared" si="312"/>
        <v>-5.482277993928776</v>
      </c>
      <c r="Z82" s="8"/>
      <c r="AA82" s="19">
        <f>AA80+AA81</f>
        <v>253.38</v>
      </c>
      <c r="AB82" s="6" t="s">
        <v>1</v>
      </c>
      <c r="AC82" s="9">
        <f>AC81+AC80</f>
        <v>79732</v>
      </c>
      <c r="AD82" s="23">
        <f t="shared" si="313"/>
        <v>-6.131219204979075</v>
      </c>
      <c r="AE82" s="24" t="s">
        <v>1</v>
      </c>
      <c r="AF82" s="23">
        <f t="shared" si="314"/>
        <v>-9.83296956811833</v>
      </c>
      <c r="AG82" s="8"/>
      <c r="AH82" s="19">
        <f>AH80+AH81</f>
        <v>260.28</v>
      </c>
      <c r="AI82" s="6" t="s">
        <v>1</v>
      </c>
      <c r="AJ82" s="9">
        <f>AJ81+AJ80</f>
        <v>82060</v>
      </c>
      <c r="AK82" s="23">
        <f t="shared" si="315"/>
        <v>2.7231825716315257</v>
      </c>
      <c r="AL82" s="24" t="s">
        <v>1</v>
      </c>
      <c r="AM82" s="23">
        <f t="shared" si="316"/>
        <v>2.91978126724527</v>
      </c>
      <c r="AN82" s="8"/>
      <c r="AO82" s="19">
        <f>AO80+AO81</f>
        <v>223.78</v>
      </c>
      <c r="AP82" s="6" t="s">
        <v>1</v>
      </c>
      <c r="AQ82" s="9">
        <f>AQ81+AQ80</f>
        <v>66401</v>
      </c>
      <c r="AR82" s="23">
        <f t="shared" si="317"/>
        <v>-14.023359459044102</v>
      </c>
      <c r="AS82" s="24" t="s">
        <v>1</v>
      </c>
      <c r="AT82" s="23">
        <f t="shared" si="318"/>
        <v>-19.082378747258105</v>
      </c>
      <c r="AU82" s="8"/>
      <c r="AV82" s="19">
        <f>AV80+AV81</f>
        <v>214.43</v>
      </c>
      <c r="AW82" s="6" t="s">
        <v>1</v>
      </c>
      <c r="AX82" s="9">
        <f>AX81+AX80</f>
        <v>67515</v>
      </c>
      <c r="AY82" s="23">
        <f t="shared" si="319"/>
        <v>-4.178210742693722</v>
      </c>
      <c r="AZ82" s="24" t="s">
        <v>1</v>
      </c>
      <c r="BA82" s="23">
        <f t="shared" si="320"/>
        <v>1.677685577024448</v>
      </c>
      <c r="BB82" s="8"/>
      <c r="BC82" s="19">
        <f>BC80+BC81</f>
        <v>195.32999999999998</v>
      </c>
      <c r="BD82" s="6" t="s">
        <v>1</v>
      </c>
      <c r="BE82" s="9">
        <f>BE81+BE80</f>
        <v>63312</v>
      </c>
      <c r="BF82" s="23">
        <f t="shared" si="321"/>
        <v>-8.907335727276973</v>
      </c>
      <c r="BG82" s="24" t="s">
        <v>1</v>
      </c>
      <c r="BH82" s="23">
        <f t="shared" si="322"/>
        <v>-6.225283270384352</v>
      </c>
      <c r="BI82" s="8"/>
      <c r="BJ82" s="19">
        <f>BJ80+BJ81</f>
        <v>206.65</v>
      </c>
      <c r="BK82" s="6" t="s">
        <v>1</v>
      </c>
      <c r="BL82" s="9">
        <f>BL81+BL80</f>
        <v>68830</v>
      </c>
      <c r="BM82" s="23">
        <f t="shared" si="353"/>
        <v>5.7953207392617685</v>
      </c>
      <c r="BN82" s="24" t="s">
        <v>1</v>
      </c>
      <c r="BO82" s="23">
        <f t="shared" si="323"/>
        <v>8.715567349001773</v>
      </c>
      <c r="BP82" s="8"/>
      <c r="BQ82" s="19">
        <f>BQ80+BQ81</f>
        <v>204.85</v>
      </c>
      <c r="BR82" s="6" t="s">
        <v>1</v>
      </c>
      <c r="BS82" s="9">
        <f>BS81+BS80</f>
        <v>66270</v>
      </c>
      <c r="BT82" s="23">
        <f t="shared" si="354"/>
        <v>-0.8710379869344393</v>
      </c>
      <c r="BU82" s="24" t="s">
        <v>1</v>
      </c>
      <c r="BV82" s="23">
        <f t="shared" si="324"/>
        <v>-3.7193084410867385</v>
      </c>
      <c r="BW82" s="8"/>
      <c r="BX82" s="19">
        <f>BX80+BX81</f>
        <v>208.4</v>
      </c>
      <c r="BY82" s="6" t="s">
        <v>1</v>
      </c>
      <c r="BZ82" s="9">
        <f>BZ81+BZ80</f>
        <v>69910</v>
      </c>
      <c r="CA82" s="23">
        <f t="shared" si="325"/>
        <v>1.7329753478154828</v>
      </c>
      <c r="CB82" s="24" t="s">
        <v>1</v>
      </c>
      <c r="CC82" s="23">
        <f t="shared" si="326"/>
        <v>5.492681454655198</v>
      </c>
      <c r="CD82" s="8"/>
      <c r="CE82" s="19">
        <f>CE80+CE81</f>
        <v>170</v>
      </c>
      <c r="CF82" s="6" t="s">
        <v>1</v>
      </c>
      <c r="CG82" s="9">
        <f>CG81+CG80</f>
        <v>56757</v>
      </c>
      <c r="CH82" s="23">
        <f t="shared" si="327"/>
        <v>-18.426103646833013</v>
      </c>
      <c r="CI82" s="24" t="s">
        <v>1</v>
      </c>
      <c r="CJ82" s="23">
        <f t="shared" si="328"/>
        <v>-18.814189672435987</v>
      </c>
      <c r="CK82" s="8"/>
      <c r="CL82" s="19">
        <f>CL80+CL81</f>
        <v>159.9</v>
      </c>
      <c r="CM82" s="6" t="s">
        <v>1</v>
      </c>
      <c r="CN82" s="9">
        <f>CN81+CN80</f>
        <v>52620</v>
      </c>
      <c r="CO82" s="23">
        <f t="shared" si="329"/>
        <v>-5.941176470588232</v>
      </c>
      <c r="CP82" s="24" t="s">
        <v>1</v>
      </c>
      <c r="CQ82" s="23">
        <f t="shared" si="330"/>
        <v>-7.288968761562444</v>
      </c>
      <c r="CR82" s="8"/>
      <c r="CS82" s="19">
        <f>CS80+CS81</f>
        <v>158.9</v>
      </c>
      <c r="CT82" s="6" t="s">
        <v>1</v>
      </c>
      <c r="CU82" s="9">
        <f>CU81+CU80</f>
        <v>50424</v>
      </c>
      <c r="CV82" s="23">
        <f t="shared" si="331"/>
        <v>-0.6253908692933123</v>
      </c>
      <c r="CW82" s="24" t="s">
        <v>1</v>
      </c>
      <c r="CX82" s="23">
        <f t="shared" si="332"/>
        <v>-4.173318129988601</v>
      </c>
      <c r="CY82" s="8"/>
      <c r="CZ82" s="19">
        <f>CZ80+CZ81</f>
        <v>144.3</v>
      </c>
      <c r="DA82" s="6" t="s">
        <v>1</v>
      </c>
      <c r="DB82" s="9">
        <f>DB81+DB80</f>
        <v>51534</v>
      </c>
      <c r="DC82" s="23">
        <f t="shared" si="333"/>
        <v>-9.188168659534284</v>
      </c>
      <c r="DD82" s="24" t="s">
        <v>1</v>
      </c>
      <c r="DE82" s="23">
        <f t="shared" si="334"/>
        <v>2.201332698714893</v>
      </c>
      <c r="DF82" s="8"/>
      <c r="DG82" s="19">
        <f>DG80+DG81</f>
        <v>143.9</v>
      </c>
      <c r="DH82" s="6" t="s">
        <v>1</v>
      </c>
      <c r="DI82" s="9">
        <f>DI81+DI80</f>
        <v>48130</v>
      </c>
      <c r="DJ82" s="23">
        <f t="shared" si="335"/>
        <v>-0.2772002772002793</v>
      </c>
      <c r="DK82" s="24" t="s">
        <v>1</v>
      </c>
      <c r="DL82" s="23">
        <f t="shared" si="336"/>
        <v>-6.6053479256413254</v>
      </c>
      <c r="DM82" s="8"/>
      <c r="DN82" s="19">
        <f>DN80+DN81</f>
        <v>117.9</v>
      </c>
      <c r="DO82" s="6" t="s">
        <v>1</v>
      </c>
      <c r="DP82" s="9">
        <f>DP81+DP80</f>
        <v>36822</v>
      </c>
      <c r="DQ82" s="23">
        <f t="shared" si="337"/>
        <v>-18.06810284920084</v>
      </c>
      <c r="DR82" s="24" t="s">
        <v>1</v>
      </c>
      <c r="DS82" s="23">
        <f t="shared" si="338"/>
        <v>-23.49470184915853</v>
      </c>
      <c r="DT82" s="8"/>
      <c r="DU82" s="19">
        <f>DU80+DU81</f>
        <v>111.4</v>
      </c>
      <c r="DV82" s="6" t="s">
        <v>1</v>
      </c>
      <c r="DW82" s="9">
        <f>DW81+DW80</f>
        <v>39444</v>
      </c>
      <c r="DX82" s="23">
        <f t="shared" si="339"/>
        <v>-5.513146734520788</v>
      </c>
      <c r="DY82" s="24" t="s">
        <v>1</v>
      </c>
      <c r="DZ82" s="23">
        <f t="shared" si="340"/>
        <v>7.120743034055721</v>
      </c>
      <c r="EA82" s="8"/>
      <c r="EB82" s="19">
        <f>EB80+EB81</f>
        <v>103.9</v>
      </c>
      <c r="EC82" s="6" t="s">
        <v>1</v>
      </c>
      <c r="ED82" s="9">
        <f>ED81+ED80</f>
        <v>39470</v>
      </c>
      <c r="EE82" s="23">
        <f t="shared" si="341"/>
        <v>-6.7324955116696685</v>
      </c>
      <c r="EF82" s="24" t="s">
        <v>1</v>
      </c>
      <c r="EG82" s="23">
        <f t="shared" si="342"/>
        <v>0.06591623567589977</v>
      </c>
      <c r="EH82" s="8"/>
      <c r="EI82" s="19">
        <f>EI80+EI81</f>
        <v>92.1</v>
      </c>
      <c r="EJ82" s="6" t="s">
        <v>1</v>
      </c>
      <c r="EK82" s="9">
        <f>EK81+EK80</f>
        <v>34665</v>
      </c>
      <c r="EL82" s="23">
        <f t="shared" si="343"/>
        <v>-11.357074109720884</v>
      </c>
      <c r="EM82" s="24" t="s">
        <v>1</v>
      </c>
      <c r="EN82" s="23">
        <f t="shared" si="344"/>
        <v>-12.173802888269577</v>
      </c>
      <c r="EO82" s="8"/>
      <c r="EP82" s="19">
        <f>EP80+EP81</f>
        <v>96.7</v>
      </c>
      <c r="EQ82" s="6" t="s">
        <v>1</v>
      </c>
      <c r="ER82" s="9">
        <f>ER81+ER80</f>
        <v>37565</v>
      </c>
      <c r="ES82" s="23">
        <f t="shared" si="345"/>
        <v>4.994571118349626</v>
      </c>
      <c r="ET82" s="24" t="s">
        <v>1</v>
      </c>
      <c r="EU82" s="23">
        <f t="shared" si="346"/>
        <v>8.365786816673875</v>
      </c>
      <c r="EV82" s="8"/>
      <c r="EW82" s="19">
        <f>EW80+EW81</f>
        <v>87.43</v>
      </c>
      <c r="EX82" s="10">
        <f t="shared" si="265"/>
        <v>393.96088299210794</v>
      </c>
      <c r="EY82" s="9">
        <f>EY81+EY80</f>
        <v>34444</v>
      </c>
      <c r="EZ82" s="9">
        <f>EZ81+EZ80</f>
        <v>33644</v>
      </c>
      <c r="FA82" s="23">
        <f t="shared" si="198"/>
        <v>-9.586349534643233</v>
      </c>
      <c r="FB82" s="24" t="s">
        <v>1</v>
      </c>
      <c r="FC82" s="23">
        <f t="shared" si="199"/>
        <v>-10.437907626780245</v>
      </c>
      <c r="FD82" s="8"/>
      <c r="FE82" s="19">
        <f>FE80+FE81</f>
        <v>79</v>
      </c>
      <c r="FF82" s="10">
        <f t="shared" si="229"/>
        <v>398.2911392405063</v>
      </c>
      <c r="FG82" s="9">
        <f>FG81+FG80</f>
        <v>31465</v>
      </c>
      <c r="FH82" s="9">
        <f>FH81+FH80</f>
        <v>31465</v>
      </c>
      <c r="FI82" s="23">
        <f t="shared" si="266"/>
        <v>-9.641999313736704</v>
      </c>
      <c r="FJ82" s="23">
        <f t="shared" si="271"/>
        <v>1.0991589356563338</v>
      </c>
      <c r="FK82" s="23">
        <f t="shared" si="271"/>
        <v>-8.648821275113221</v>
      </c>
      <c r="FL82" s="23">
        <f t="shared" si="267"/>
        <v>-6.476637736297704</v>
      </c>
      <c r="FM82" s="23"/>
      <c r="FN82" s="36">
        <f>FN80+FN81</f>
        <v>72.5</v>
      </c>
      <c r="FO82" s="6" t="s">
        <v>1</v>
      </c>
      <c r="FP82" s="9">
        <f>FP81+FP80</f>
        <v>28085</v>
      </c>
      <c r="FQ82" s="9">
        <f>FQ81+FQ80</f>
        <v>28085</v>
      </c>
      <c r="FR82" s="24" t="s">
        <v>1</v>
      </c>
      <c r="FS82" s="24" t="s">
        <v>1</v>
      </c>
      <c r="FT82" s="23">
        <f t="shared" si="368"/>
        <v>-10.742094390592726</v>
      </c>
      <c r="FU82" s="23">
        <f t="shared" si="368"/>
        <v>-10.742094390592726</v>
      </c>
      <c r="FV82" s="23"/>
      <c r="FW82" s="19">
        <f>FW80+FW81</f>
        <v>68.84</v>
      </c>
      <c r="FX82" s="6" t="s">
        <v>1</v>
      </c>
      <c r="FY82" s="19">
        <f>FY80+FY81</f>
        <v>26764</v>
      </c>
      <c r="FZ82" s="19">
        <f>FZ80+FZ81</f>
        <v>26764</v>
      </c>
      <c r="GA82" s="24" t="s">
        <v>1</v>
      </c>
      <c r="GB82" s="24" t="s">
        <v>1</v>
      </c>
      <c r="GC82" s="24" t="s">
        <v>1</v>
      </c>
      <c r="GD82" s="24" t="s">
        <v>1</v>
      </c>
      <c r="GE82" s="23"/>
      <c r="GF82" s="19">
        <f>GF80+GF81</f>
        <v>69.85</v>
      </c>
      <c r="GG82" s="6" t="s">
        <v>1</v>
      </c>
      <c r="GH82" s="19">
        <f>GH80+GH81</f>
        <v>26395</v>
      </c>
      <c r="GI82" s="19">
        <f>GI80+GI81</f>
        <v>26395</v>
      </c>
      <c r="GJ82" s="23">
        <f t="shared" si="300"/>
        <v>1.4671702498547177</v>
      </c>
      <c r="GK82" s="24" t="s">
        <v>1</v>
      </c>
      <c r="GL82" s="23">
        <f t="shared" si="363"/>
        <v>-1.3787176804662948</v>
      </c>
      <c r="GM82" s="23">
        <f t="shared" si="363"/>
        <v>-1.3787176804662948</v>
      </c>
      <c r="GN82" s="23"/>
      <c r="GO82" s="19">
        <f>GO80+GO81</f>
        <v>52</v>
      </c>
      <c r="GP82" s="6" t="s">
        <v>1</v>
      </c>
      <c r="GQ82" s="19">
        <f>GQ80+GQ81</f>
        <v>16510</v>
      </c>
      <c r="GR82" s="19">
        <f>GR80+GR81</f>
        <v>16510</v>
      </c>
      <c r="GS82" s="23">
        <f t="shared" si="301"/>
        <v>-25.554760200429484</v>
      </c>
      <c r="GT82" s="24" t="s">
        <v>1</v>
      </c>
      <c r="GU82" s="23">
        <f t="shared" si="364"/>
        <v>-37.450274673233565</v>
      </c>
      <c r="GV82" s="23">
        <f t="shared" si="365"/>
        <v>-37.450274673233565</v>
      </c>
      <c r="GW82" s="23"/>
      <c r="GX82" s="19">
        <f>GX80+GX81</f>
        <v>81.22</v>
      </c>
      <c r="GY82" s="6" t="s">
        <v>1</v>
      </c>
      <c r="GZ82" s="19">
        <f>GZ80+GZ81</f>
        <v>23750</v>
      </c>
      <c r="HA82" s="19">
        <f>HA80+HA81</f>
        <v>23750</v>
      </c>
      <c r="HB82" s="23">
        <f t="shared" si="302"/>
        <v>56.19230769230768</v>
      </c>
      <c r="HC82" s="24" t="s">
        <v>1</v>
      </c>
      <c r="HD82" s="23">
        <f t="shared" si="366"/>
        <v>43.85221078134464</v>
      </c>
      <c r="HE82" s="23">
        <f t="shared" si="367"/>
        <v>43.85221078134464</v>
      </c>
      <c r="HF82" s="23"/>
      <c r="HG82" s="19">
        <f>HG80+HG81</f>
        <v>90.52</v>
      </c>
      <c r="HH82" s="6" t="s">
        <v>1</v>
      </c>
      <c r="HI82" s="19">
        <f>HI80+HI81</f>
        <v>25910</v>
      </c>
      <c r="HJ82" s="19">
        <f>HJ80+HJ81</f>
        <v>25910</v>
      </c>
      <c r="HK82" s="23">
        <f t="shared" si="304"/>
        <v>11.45038167938931</v>
      </c>
      <c r="HL82" s="24" t="s">
        <v>1</v>
      </c>
      <c r="HM82" s="23">
        <f t="shared" si="105"/>
        <v>9.094736842105263</v>
      </c>
      <c r="HN82" s="23">
        <f t="shared" si="106"/>
        <v>9.094736842105263</v>
      </c>
      <c r="HO82" s="23"/>
      <c r="HP82" s="19">
        <f>HP80+HP81</f>
        <v>119.2</v>
      </c>
      <c r="HQ82" s="6" t="s">
        <v>1</v>
      </c>
      <c r="HR82" s="19">
        <f>HR80+HR81</f>
        <v>33172</v>
      </c>
      <c r="HS82" s="19">
        <f>HS80+HS81</f>
        <v>33172</v>
      </c>
      <c r="HT82" s="23">
        <f t="shared" si="306"/>
        <v>31.6836058329651</v>
      </c>
      <c r="HU82" s="24" t="s">
        <v>1</v>
      </c>
      <c r="HV82" s="23">
        <f aca="true" t="shared" si="370" ref="HV82:HV115">HR82*100/HI82-100</f>
        <v>28.02778849864916</v>
      </c>
      <c r="HW82" s="23">
        <f aca="true" t="shared" si="371" ref="HW82:HW115">HS82*100/HJ82-100</f>
        <v>28.02778849864916</v>
      </c>
      <c r="HX82" s="23"/>
      <c r="HY82" s="19">
        <f>HY80+HY81</f>
        <v>110</v>
      </c>
      <c r="HZ82" s="6" t="s">
        <v>1</v>
      </c>
      <c r="IA82" s="19">
        <f>IA80+IA81</f>
        <v>37050</v>
      </c>
      <c r="IB82" s="19">
        <f>IB80+IB81</f>
        <v>37050</v>
      </c>
      <c r="IC82" s="23">
        <f t="shared" si="308"/>
        <v>-7.718120805369125</v>
      </c>
      <c r="ID82" s="24" t="s">
        <v>1</v>
      </c>
      <c r="IE82" s="23">
        <f t="shared" si="309"/>
        <v>11.69058241890751</v>
      </c>
      <c r="IF82" s="23">
        <f t="shared" si="310"/>
        <v>11.69058241890751</v>
      </c>
      <c r="IG82" s="23"/>
      <c r="IH82" s="1" t="s">
        <v>78</v>
      </c>
      <c r="II82" s="29">
        <f t="shared" si="357"/>
        <v>79.016</v>
      </c>
      <c r="IJ82" s="30">
        <f t="shared" si="358"/>
        <v>396.12601111630715</v>
      </c>
      <c r="IK82" s="29">
        <f t="shared" si="359"/>
        <v>28475.3</v>
      </c>
      <c r="IL82" s="25">
        <f t="shared" si="360"/>
        <v>50.85552293206439</v>
      </c>
      <c r="IM82" s="25">
        <f t="shared" si="361"/>
        <v>-100</v>
      </c>
      <c r="IN82" s="25">
        <f t="shared" si="362"/>
        <v>16.49394387416463</v>
      </c>
      <c r="IP82" s="30">
        <f>HP82*100/Italia!BR82</f>
        <v>1.0345920001388713</v>
      </c>
      <c r="IQ82" s="30">
        <f>HR82*100/Italia!BT82</f>
        <v>1.1042348865922276</v>
      </c>
      <c r="IR82" s="30">
        <f>HS82*100/Italia!BU82</f>
        <v>1.1725855631853663</v>
      </c>
    </row>
    <row r="83" spans="1:252" ht="12">
      <c r="A83" s="1" t="s">
        <v>79</v>
      </c>
      <c r="B83" s="20">
        <v>5135</v>
      </c>
      <c r="C83" s="10">
        <v>91.7</v>
      </c>
      <c r="D83" s="11">
        <v>468500</v>
      </c>
      <c r="E83" s="9"/>
      <c r="F83" s="20">
        <v>5140</v>
      </c>
      <c r="G83" s="10">
        <v>77.5</v>
      </c>
      <c r="H83" s="11">
        <v>398400</v>
      </c>
      <c r="I83" s="23">
        <f t="shared" si="349"/>
        <v>0.09737098344693607</v>
      </c>
      <c r="J83" s="23">
        <f>G83*100/C83-100</f>
        <v>-15.485278080697924</v>
      </c>
      <c r="K83" s="23">
        <f t="shared" si="350"/>
        <v>-14.962646744930623</v>
      </c>
      <c r="L83" s="8"/>
      <c r="M83" s="20">
        <v>4491</v>
      </c>
      <c r="N83" s="10">
        <f>O83/M83</f>
        <v>88.91115564462258</v>
      </c>
      <c r="O83" s="11">
        <v>399300</v>
      </c>
      <c r="P83" s="23">
        <f t="shared" si="351"/>
        <v>-12.626459143968873</v>
      </c>
      <c r="Q83" s="23">
        <f>N83*100/G83-100</f>
        <v>14.724071799512998</v>
      </c>
      <c r="R83" s="23">
        <f t="shared" si="352"/>
        <v>0.22590361445783458</v>
      </c>
      <c r="S83" s="8"/>
      <c r="T83" s="20">
        <v>4010</v>
      </c>
      <c r="U83" s="10">
        <v>96</v>
      </c>
      <c r="V83" s="11">
        <v>383400</v>
      </c>
      <c r="W83" s="23">
        <f t="shared" si="311"/>
        <v>-10.710309507904697</v>
      </c>
      <c r="X83" s="23">
        <f>U83*100/N83-100</f>
        <v>7.972952667167533</v>
      </c>
      <c r="Y83" s="23">
        <f t="shared" si="312"/>
        <v>-3.98196844477836</v>
      </c>
      <c r="Z83" s="8"/>
      <c r="AA83" s="20">
        <v>5365</v>
      </c>
      <c r="AB83" s="10">
        <f>419800/AA83</f>
        <v>78.24790307548928</v>
      </c>
      <c r="AC83" s="11">
        <v>409600</v>
      </c>
      <c r="AD83" s="23">
        <f t="shared" si="313"/>
        <v>33.79052369077306</v>
      </c>
      <c r="AE83" s="23">
        <f>AB83*100/U83-100</f>
        <v>-18.49176762969867</v>
      </c>
      <c r="AF83" s="23">
        <f t="shared" si="314"/>
        <v>6.833594157537817</v>
      </c>
      <c r="AG83" s="8"/>
      <c r="AH83" s="20">
        <v>5084</v>
      </c>
      <c r="AI83" s="10">
        <v>75.9</v>
      </c>
      <c r="AJ83" s="11">
        <v>381600</v>
      </c>
      <c r="AK83" s="23">
        <f t="shared" si="315"/>
        <v>-5.237651444547993</v>
      </c>
      <c r="AL83" s="23">
        <f>AI83*100/AB83-100</f>
        <v>-3.0005955216769706</v>
      </c>
      <c r="AM83" s="23">
        <f t="shared" si="316"/>
        <v>-6.8359375</v>
      </c>
      <c r="AN83" s="8"/>
      <c r="AO83" s="20">
        <v>4501</v>
      </c>
      <c r="AP83" s="10">
        <v>73.2</v>
      </c>
      <c r="AQ83" s="11">
        <v>326700</v>
      </c>
      <c r="AR83" s="23">
        <f t="shared" si="317"/>
        <v>-11.467348544453188</v>
      </c>
      <c r="AS83" s="23">
        <f>AP83*100/AI83-100</f>
        <v>-3.5573122529644365</v>
      </c>
      <c r="AT83" s="23">
        <f t="shared" si="318"/>
        <v>-14.386792452830193</v>
      </c>
      <c r="AU83" s="8"/>
      <c r="AV83" s="20">
        <v>4039</v>
      </c>
      <c r="AW83" s="10">
        <v>79.2</v>
      </c>
      <c r="AX83" s="11">
        <v>317065</v>
      </c>
      <c r="AY83" s="23">
        <f t="shared" si="319"/>
        <v>-10.26438569206843</v>
      </c>
      <c r="AZ83" s="23">
        <f>AW83*100/AP83-100</f>
        <v>8.1967213114754</v>
      </c>
      <c r="BA83" s="23">
        <f t="shared" si="320"/>
        <v>-2.9491888582797685</v>
      </c>
      <c r="BB83" s="8"/>
      <c r="BC83" s="20">
        <v>3840</v>
      </c>
      <c r="BD83" s="10">
        <v>69</v>
      </c>
      <c r="BE83" s="11">
        <v>263216</v>
      </c>
      <c r="BF83" s="23">
        <f t="shared" si="321"/>
        <v>-4.926962119336466</v>
      </c>
      <c r="BG83" s="23">
        <f>BD83*100/AW83-100</f>
        <v>-12.878787878787875</v>
      </c>
      <c r="BH83" s="23">
        <f t="shared" si="322"/>
        <v>-16.98358380773658</v>
      </c>
      <c r="BI83" s="8"/>
      <c r="BJ83" s="20">
        <v>3225</v>
      </c>
      <c r="BK83" s="10">
        <v>75.04</v>
      </c>
      <c r="BL83" s="11">
        <v>241988</v>
      </c>
      <c r="BM83" s="23">
        <f t="shared" si="353"/>
        <v>-16.015625</v>
      </c>
      <c r="BN83" s="23">
        <f>BK83*100/BD83-100</f>
        <v>8.753623188405811</v>
      </c>
      <c r="BO83" s="23">
        <f t="shared" si="323"/>
        <v>-8.064859279071186</v>
      </c>
      <c r="BP83" s="8"/>
      <c r="BQ83" s="20">
        <v>4020</v>
      </c>
      <c r="BR83" s="10">
        <v>72</v>
      </c>
      <c r="BS83" s="11">
        <v>285287</v>
      </c>
      <c r="BT83" s="23">
        <f t="shared" si="354"/>
        <v>24.65116279069767</v>
      </c>
      <c r="BU83" s="23">
        <f>BR83*100/BK83-100</f>
        <v>-4.051172707889137</v>
      </c>
      <c r="BV83" s="23">
        <f t="shared" si="324"/>
        <v>17.89303601831496</v>
      </c>
      <c r="BW83" s="8"/>
      <c r="BX83" s="20">
        <v>4200</v>
      </c>
      <c r="BY83" s="10">
        <v>78.5</v>
      </c>
      <c r="BZ83" s="11">
        <v>325576</v>
      </c>
      <c r="CA83" s="23">
        <f t="shared" si="325"/>
        <v>4.477611940298502</v>
      </c>
      <c r="CB83" s="23">
        <f>BY83*100/BR83-100</f>
        <v>9.027777777777771</v>
      </c>
      <c r="CC83" s="23">
        <f t="shared" si="326"/>
        <v>14.122269854567506</v>
      </c>
      <c r="CD83" s="8"/>
      <c r="CE83" s="20">
        <v>4347</v>
      </c>
      <c r="CF83" s="10">
        <v>71.3</v>
      </c>
      <c r="CG83" s="11">
        <v>305987</v>
      </c>
      <c r="CH83" s="23">
        <f t="shared" si="327"/>
        <v>3.5</v>
      </c>
      <c r="CI83" s="23">
        <f>CF83*100/BY83-100</f>
        <v>-9.171974522292999</v>
      </c>
      <c r="CJ83" s="23">
        <f t="shared" si="328"/>
        <v>-6.016721134235937</v>
      </c>
      <c r="CK83" s="8"/>
      <c r="CL83" s="20">
        <v>3392</v>
      </c>
      <c r="CM83" s="10">
        <v>86.3</v>
      </c>
      <c r="CN83" s="11">
        <v>292897</v>
      </c>
      <c r="CO83" s="23">
        <f t="shared" si="329"/>
        <v>-21.969174143087187</v>
      </c>
      <c r="CP83" s="23">
        <f>CM83*100/CF83-100</f>
        <v>21.037868162692845</v>
      </c>
      <c r="CQ83" s="23">
        <f t="shared" si="330"/>
        <v>-4.277959521156134</v>
      </c>
      <c r="CR83" s="8"/>
      <c r="CS83" s="20">
        <v>3179</v>
      </c>
      <c r="CT83" s="10">
        <v>80.3</v>
      </c>
      <c r="CU83" s="11">
        <v>254198</v>
      </c>
      <c r="CV83" s="23">
        <f t="shared" si="331"/>
        <v>-6.279481132075475</v>
      </c>
      <c r="CW83" s="23">
        <f>CT83*100/CM83-100</f>
        <v>-6.952491309385863</v>
      </c>
      <c r="CX83" s="23">
        <f t="shared" si="332"/>
        <v>-13.212494494651708</v>
      </c>
      <c r="CY83" s="8"/>
      <c r="CZ83" s="20">
        <v>2870</v>
      </c>
      <c r="DA83" s="10">
        <v>77.6</v>
      </c>
      <c r="DB83" s="11">
        <v>220101</v>
      </c>
      <c r="DC83" s="23">
        <f t="shared" si="333"/>
        <v>-9.720037747719402</v>
      </c>
      <c r="DD83" s="23">
        <f>DA83*100/CT83-100</f>
        <v>-3.362391033623922</v>
      </c>
      <c r="DE83" s="23">
        <f t="shared" si="334"/>
        <v>-13.41355950872942</v>
      </c>
      <c r="DF83" s="8"/>
      <c r="DG83" s="20">
        <v>3026</v>
      </c>
      <c r="DH83" s="10">
        <f>DI83/DG83</f>
        <v>68.84699272967615</v>
      </c>
      <c r="DI83" s="11">
        <v>208331</v>
      </c>
      <c r="DJ83" s="23">
        <f t="shared" si="335"/>
        <v>5.435540069686411</v>
      </c>
      <c r="DK83" s="23">
        <f>DH83*100/DA83-100</f>
        <v>-11.279648544231762</v>
      </c>
      <c r="DL83" s="23">
        <f t="shared" si="336"/>
        <v>-5.347544990708812</v>
      </c>
      <c r="DM83" s="8"/>
      <c r="DN83" s="20">
        <v>3024</v>
      </c>
      <c r="DO83" s="10">
        <v>69.3</v>
      </c>
      <c r="DP83" s="11">
        <v>206945</v>
      </c>
      <c r="DQ83" s="23">
        <f t="shared" si="337"/>
        <v>-0.06609385327163864</v>
      </c>
      <c r="DR83" s="23">
        <f>DO83*100/DH83-100</f>
        <v>0.6579913695033355</v>
      </c>
      <c r="DS83" s="23">
        <f t="shared" si="338"/>
        <v>-0.6652874512194558</v>
      </c>
      <c r="DT83" s="8"/>
      <c r="DU83" s="20">
        <v>3815</v>
      </c>
      <c r="DV83" s="10">
        <v>53</v>
      </c>
      <c r="DW83" s="11">
        <v>201348</v>
      </c>
      <c r="DX83" s="23">
        <f t="shared" si="339"/>
        <v>26.157407407407405</v>
      </c>
      <c r="DY83" s="23">
        <f>DV83*100/DO83-100</f>
        <v>-23.520923520923517</v>
      </c>
      <c r="DZ83" s="23">
        <f t="shared" si="340"/>
        <v>-2.704583343400415</v>
      </c>
      <c r="EA83" s="8"/>
      <c r="EB83" s="20">
        <v>4002</v>
      </c>
      <c r="EC83" s="10">
        <v>73.2</v>
      </c>
      <c r="ED83" s="11">
        <v>293090</v>
      </c>
      <c r="EE83" s="23">
        <f t="shared" si="341"/>
        <v>4.901703800786365</v>
      </c>
      <c r="EF83" s="23">
        <f>EC83*100/DV83-100</f>
        <v>38.11320754716982</v>
      </c>
      <c r="EG83" s="23">
        <f t="shared" si="342"/>
        <v>45.56389931859269</v>
      </c>
      <c r="EH83" s="8"/>
      <c r="EI83" s="20">
        <v>4170</v>
      </c>
      <c r="EJ83" s="10">
        <v>72.5</v>
      </c>
      <c r="EK83" s="11">
        <v>302304</v>
      </c>
      <c r="EL83" s="23">
        <f t="shared" si="343"/>
        <v>4.197901049475263</v>
      </c>
      <c r="EM83" s="23">
        <f>EJ83*100/EC83-100</f>
        <v>-0.9562841530054698</v>
      </c>
      <c r="EN83" s="23">
        <f t="shared" si="344"/>
        <v>3.14374424238288</v>
      </c>
      <c r="EO83" s="8"/>
      <c r="EP83" s="20">
        <v>4128</v>
      </c>
      <c r="EQ83" s="10">
        <v>78.8</v>
      </c>
      <c r="ER83" s="11">
        <v>325300</v>
      </c>
      <c r="ES83" s="23">
        <f t="shared" si="345"/>
        <v>-1.007194244604321</v>
      </c>
      <c r="ET83" s="23">
        <f>EQ83*100/EJ83-100</f>
        <v>8.689655172413794</v>
      </c>
      <c r="EU83" s="23">
        <f t="shared" si="346"/>
        <v>7.606912247274266</v>
      </c>
      <c r="EV83" s="8"/>
      <c r="EW83" s="20">
        <v>4023</v>
      </c>
      <c r="EX83" s="10">
        <f t="shared" si="265"/>
        <v>69.51976137211037</v>
      </c>
      <c r="EY83" s="11">
        <v>279678</v>
      </c>
      <c r="EZ83" s="11">
        <v>279678</v>
      </c>
      <c r="FA83" s="23">
        <f t="shared" si="198"/>
        <v>-2.543604651162795</v>
      </c>
      <c r="FB83" s="23">
        <f>EX83*100/EQ83-100</f>
        <v>-11.776952573464001</v>
      </c>
      <c r="FC83" s="23">
        <f t="shared" si="199"/>
        <v>-14.024592683676602</v>
      </c>
      <c r="FD83" s="8"/>
      <c r="FE83" s="20">
        <v>4482</v>
      </c>
      <c r="FF83" s="10">
        <f t="shared" si="229"/>
        <v>62.85631414547077</v>
      </c>
      <c r="FG83" s="11">
        <v>281722</v>
      </c>
      <c r="FH83" s="11">
        <v>281722</v>
      </c>
      <c r="FI83" s="23">
        <f t="shared" si="266"/>
        <v>11.40939597315436</v>
      </c>
      <c r="FJ83" s="23">
        <f t="shared" si="271"/>
        <v>-9.584968496903969</v>
      </c>
      <c r="FK83" s="23">
        <f t="shared" si="271"/>
        <v>0.7308404665365202</v>
      </c>
      <c r="FL83" s="23">
        <f t="shared" si="267"/>
        <v>0.7308404665365202</v>
      </c>
      <c r="FM83" s="23"/>
      <c r="FN83" s="20">
        <v>5227</v>
      </c>
      <c r="FO83" s="10">
        <f t="shared" si="220"/>
        <v>56.471589822077675</v>
      </c>
      <c r="FP83" s="11">
        <v>295177</v>
      </c>
      <c r="FQ83" s="11">
        <v>295177</v>
      </c>
      <c r="FR83" s="23">
        <f>FN83*100/FE83-100</f>
        <v>16.622043730477472</v>
      </c>
      <c r="FS83" s="23">
        <f>FO83*100/FF83-100</f>
        <v>-10.157649887991653</v>
      </c>
      <c r="FT83" s="23">
        <f t="shared" si="368"/>
        <v>4.775984836115029</v>
      </c>
      <c r="FU83" s="23">
        <f t="shared" si="368"/>
        <v>4.775984836115029</v>
      </c>
      <c r="FV83" s="23"/>
      <c r="FW83" s="20">
        <v>0</v>
      </c>
      <c r="FX83" s="10" t="e">
        <f>FY83/FW83</f>
        <v>#DIV/0!</v>
      </c>
      <c r="FY83" s="20">
        <v>0</v>
      </c>
      <c r="FZ83" s="20">
        <v>0</v>
      </c>
      <c r="GA83" s="23">
        <f aca="true" t="shared" si="372" ref="GA83:GD84">FW83*100/FN83-100</f>
        <v>-100</v>
      </c>
      <c r="GB83" s="23" t="e">
        <f t="shared" si="372"/>
        <v>#DIV/0!</v>
      </c>
      <c r="GC83" s="23">
        <f t="shared" si="372"/>
        <v>-100</v>
      </c>
      <c r="GD83" s="23">
        <f t="shared" si="372"/>
        <v>-100</v>
      </c>
      <c r="GE83" s="23"/>
      <c r="GF83" s="20">
        <v>5470</v>
      </c>
      <c r="GG83" s="10">
        <f>GH83/GF83</f>
        <v>56.68464351005485</v>
      </c>
      <c r="GH83" s="20">
        <v>310065</v>
      </c>
      <c r="GI83" s="20">
        <v>310065</v>
      </c>
      <c r="GJ83" s="23" t="e">
        <f t="shared" si="300"/>
        <v>#DIV/0!</v>
      </c>
      <c r="GK83" s="23" t="e">
        <f t="shared" si="300"/>
        <v>#DIV/0!</v>
      </c>
      <c r="GL83" s="23" t="e">
        <f t="shared" si="363"/>
        <v>#DIV/0!</v>
      </c>
      <c r="GM83" s="23" t="e">
        <f t="shared" si="363"/>
        <v>#DIV/0!</v>
      </c>
      <c r="GN83" s="23"/>
      <c r="GO83" s="20">
        <v>5225</v>
      </c>
      <c r="GP83" s="10">
        <f>GQ83/GO83</f>
        <v>55.59444976076555</v>
      </c>
      <c r="GQ83" s="20">
        <v>290481</v>
      </c>
      <c r="GR83" s="20">
        <v>290481</v>
      </c>
      <c r="GS83" s="23">
        <f t="shared" si="301"/>
        <v>-4.478976234003653</v>
      </c>
      <c r="GT83" s="23">
        <f t="shared" si="301"/>
        <v>-1.9232611899480645</v>
      </c>
      <c r="GU83" s="23">
        <f t="shared" si="364"/>
        <v>-6.31609501233612</v>
      </c>
      <c r="GV83" s="23">
        <f t="shared" si="365"/>
        <v>-6.31609501233612</v>
      </c>
      <c r="GW83" s="23"/>
      <c r="GX83" s="20">
        <v>3488</v>
      </c>
      <c r="GY83" s="10">
        <f>GZ83/GX83</f>
        <v>57.08256880733945</v>
      </c>
      <c r="GZ83" s="20">
        <v>199104</v>
      </c>
      <c r="HA83" s="20">
        <v>199104</v>
      </c>
      <c r="HB83" s="23">
        <f t="shared" si="302"/>
        <v>-33.24401913875599</v>
      </c>
      <c r="HC83" s="23">
        <f>GY83*100/GP83-100</f>
        <v>2.6767403094689968</v>
      </c>
      <c r="HD83" s="23">
        <f t="shared" si="366"/>
        <v>-31.457134890061653</v>
      </c>
      <c r="HE83" s="23">
        <f t="shared" si="367"/>
        <v>-31.457134890061653</v>
      </c>
      <c r="HF83" s="23"/>
      <c r="HG83" s="20">
        <v>4760</v>
      </c>
      <c r="HH83" s="10">
        <f>HI83/HG83</f>
        <v>58.983613445378154</v>
      </c>
      <c r="HI83" s="20">
        <v>280762</v>
      </c>
      <c r="HJ83" s="20">
        <v>280762</v>
      </c>
      <c r="HK83" s="23">
        <f t="shared" si="304"/>
        <v>36.46788990825689</v>
      </c>
      <c r="HL83" s="23">
        <f>HH83*100/GY83-100</f>
        <v>3.3303417799135104</v>
      </c>
      <c r="HM83" s="23">
        <f t="shared" si="105"/>
        <v>41.01273706203793</v>
      </c>
      <c r="HN83" s="23">
        <f t="shared" si="106"/>
        <v>41.01273706203793</v>
      </c>
      <c r="HO83" s="23"/>
      <c r="HP83" s="20">
        <v>4593</v>
      </c>
      <c r="HQ83" s="10">
        <f>HR83/HP83</f>
        <v>49.267363379055084</v>
      </c>
      <c r="HR83" s="20">
        <v>226285</v>
      </c>
      <c r="HS83" s="20">
        <v>226285</v>
      </c>
      <c r="HT83" s="23">
        <f t="shared" si="306"/>
        <v>-3.5084033613445342</v>
      </c>
      <c r="HU83" s="23">
        <f>HQ83*100/HH83-100</f>
        <v>-16.472795576216797</v>
      </c>
      <c r="HV83" s="23">
        <f t="shared" si="370"/>
        <v>-19.403266823857933</v>
      </c>
      <c r="HW83" s="23">
        <f t="shared" si="371"/>
        <v>-19.403266823857933</v>
      </c>
      <c r="HX83" s="23"/>
      <c r="HY83" s="20">
        <v>5896</v>
      </c>
      <c r="HZ83" s="10">
        <f>IA83/HY83</f>
        <v>76.34056987788331</v>
      </c>
      <c r="IA83" s="20">
        <v>450104</v>
      </c>
      <c r="IB83" s="20">
        <v>450104</v>
      </c>
      <c r="IC83" s="23">
        <f t="shared" si="308"/>
        <v>28.36925756586109</v>
      </c>
      <c r="ID83" s="23">
        <f>HZ83*100/HQ83-100</f>
        <v>54.95160414924456</v>
      </c>
      <c r="IE83" s="23">
        <f t="shared" si="309"/>
        <v>98.91022383277726</v>
      </c>
      <c r="IF83" s="23">
        <f t="shared" si="310"/>
        <v>98.91022383277726</v>
      </c>
      <c r="IG83" s="23"/>
      <c r="IH83" s="1" t="s">
        <v>79</v>
      </c>
      <c r="II83" s="29">
        <f t="shared" si="357"/>
        <v>4097.3</v>
      </c>
      <c r="IJ83" s="30" t="e">
        <f t="shared" si="358"/>
        <v>#DIV/0!</v>
      </c>
      <c r="IK83" s="29">
        <f t="shared" si="359"/>
        <v>256459.3</v>
      </c>
      <c r="IL83" s="25">
        <f t="shared" si="360"/>
        <v>12.098211017011195</v>
      </c>
      <c r="IM83" s="25" t="e">
        <f t="shared" si="361"/>
        <v>#DIV/0!</v>
      </c>
      <c r="IN83" s="25">
        <f t="shared" si="362"/>
        <v>-11.765726569479057</v>
      </c>
      <c r="IP83" s="30">
        <f>HP83*100/Italia!BR83</f>
        <v>30.858640150497177</v>
      </c>
      <c r="IQ83" s="30">
        <f>HR83*100/Italia!BT83</f>
        <v>30.290516418601726</v>
      </c>
      <c r="IR83" s="30">
        <f>HS83*100/Italia!BU83</f>
        <v>30.857017402711453</v>
      </c>
    </row>
    <row r="84" spans="1:252" ht="12">
      <c r="A84" s="1" t="s">
        <v>80</v>
      </c>
      <c r="B84" s="22">
        <v>2</v>
      </c>
      <c r="C84" s="10">
        <v>250</v>
      </c>
      <c r="D84" s="11">
        <v>500</v>
      </c>
      <c r="E84" s="9"/>
      <c r="F84" s="22">
        <v>6</v>
      </c>
      <c r="G84" s="10">
        <v>275</v>
      </c>
      <c r="H84" s="11">
        <v>1650</v>
      </c>
      <c r="I84" s="23">
        <f t="shared" si="349"/>
        <v>200</v>
      </c>
      <c r="J84" s="23">
        <f>G84*100/C84-100</f>
        <v>10</v>
      </c>
      <c r="K84" s="23">
        <f t="shared" si="350"/>
        <v>230</v>
      </c>
      <c r="L84" s="8"/>
      <c r="M84" s="22">
        <v>3.5</v>
      </c>
      <c r="N84" s="10">
        <v>292.8</v>
      </c>
      <c r="O84" s="11">
        <v>1025</v>
      </c>
      <c r="P84" s="23">
        <f t="shared" si="351"/>
        <v>-41.666666666666664</v>
      </c>
      <c r="Q84" s="23">
        <f>N84*100/G84-100</f>
        <v>6.472727272727269</v>
      </c>
      <c r="R84" s="23">
        <f t="shared" si="352"/>
        <v>-37.878787878787875</v>
      </c>
      <c r="S84" s="8"/>
      <c r="T84" s="22">
        <v>3.1</v>
      </c>
      <c r="U84" s="10">
        <f>930/T84</f>
        <v>300</v>
      </c>
      <c r="V84" s="11">
        <v>930</v>
      </c>
      <c r="W84" s="23">
        <f t="shared" si="311"/>
        <v>-11.42857142857143</v>
      </c>
      <c r="X84" s="23">
        <f>U84*100/N84-100</f>
        <v>2.4590163934426243</v>
      </c>
      <c r="Y84" s="23">
        <f t="shared" si="312"/>
        <v>-9.268292682926827</v>
      </c>
      <c r="Z84" s="8"/>
      <c r="AA84" s="22">
        <v>3</v>
      </c>
      <c r="AB84" s="10">
        <f>AC84/AA84</f>
        <v>300</v>
      </c>
      <c r="AC84" s="11">
        <v>900</v>
      </c>
      <c r="AD84" s="23">
        <f t="shared" si="313"/>
        <v>-3.225806451612911</v>
      </c>
      <c r="AE84" s="23">
        <f>AB84*100/U84-100</f>
        <v>0</v>
      </c>
      <c r="AF84" s="23">
        <f t="shared" si="314"/>
        <v>-3.225806451612897</v>
      </c>
      <c r="AG84" s="8"/>
      <c r="AH84" s="22">
        <v>3.03</v>
      </c>
      <c r="AI84" s="10">
        <f>AJ84/AH84</f>
        <v>298.01980198019805</v>
      </c>
      <c r="AJ84" s="11">
        <v>903</v>
      </c>
      <c r="AK84" s="23">
        <f t="shared" si="315"/>
        <v>1</v>
      </c>
      <c r="AL84" s="23">
        <f>AI84*100/AB84-100</f>
        <v>-0.6600660066006441</v>
      </c>
      <c r="AM84" s="23">
        <f t="shared" si="316"/>
        <v>0.3333333333333286</v>
      </c>
      <c r="AN84" s="8"/>
      <c r="AO84" s="22">
        <v>3.03</v>
      </c>
      <c r="AP84" s="10">
        <f>AQ84/AO84</f>
        <v>298.01980198019805</v>
      </c>
      <c r="AQ84" s="11">
        <v>903</v>
      </c>
      <c r="AR84" s="23">
        <f t="shared" si="317"/>
        <v>0</v>
      </c>
      <c r="AS84" s="23">
        <f>AP84*100/AI84-100</f>
        <v>0</v>
      </c>
      <c r="AT84" s="23">
        <f t="shared" si="318"/>
        <v>0</v>
      </c>
      <c r="AU84" s="8"/>
      <c r="AV84" s="22">
        <v>3.53</v>
      </c>
      <c r="AW84" s="10">
        <f>AX84/AV84</f>
        <v>298.300283286119</v>
      </c>
      <c r="AX84" s="11">
        <v>1053</v>
      </c>
      <c r="AY84" s="23">
        <f t="shared" si="319"/>
        <v>16.501650165016514</v>
      </c>
      <c r="AZ84" s="23">
        <f>AW84*100/AP84-100</f>
        <v>0.09411498969440402</v>
      </c>
      <c r="BA84" s="23">
        <f t="shared" si="320"/>
        <v>16.611295681063126</v>
      </c>
      <c r="BB84" s="8"/>
      <c r="BC84" s="22">
        <v>4</v>
      </c>
      <c r="BD84" s="10">
        <f>BE84/BC84</f>
        <v>300</v>
      </c>
      <c r="BE84" s="11">
        <v>1200</v>
      </c>
      <c r="BF84" s="23">
        <f t="shared" si="321"/>
        <v>13.314447592067992</v>
      </c>
      <c r="BG84" s="23">
        <f>BD84*100/AW84-100</f>
        <v>0.569800569800563</v>
      </c>
      <c r="BH84" s="23">
        <f t="shared" si="322"/>
        <v>13.960113960113958</v>
      </c>
      <c r="BI84" s="8"/>
      <c r="BJ84" s="22">
        <v>3.8</v>
      </c>
      <c r="BK84" s="10">
        <f>BL84/BJ84</f>
        <v>266.8421052631579</v>
      </c>
      <c r="BL84" s="11">
        <v>1014</v>
      </c>
      <c r="BM84" s="23">
        <f t="shared" si="353"/>
        <v>-5</v>
      </c>
      <c r="BN84" s="23">
        <f>BK84*100/BD84-100</f>
        <v>-11.052631578947356</v>
      </c>
      <c r="BO84" s="23">
        <f t="shared" si="323"/>
        <v>-15.5</v>
      </c>
      <c r="BP84" s="8"/>
      <c r="BQ84" s="22">
        <v>4.4</v>
      </c>
      <c r="BR84" s="10">
        <f>BS84/BQ84</f>
        <v>293.18181818181813</v>
      </c>
      <c r="BS84" s="11">
        <v>1290</v>
      </c>
      <c r="BT84" s="23">
        <f t="shared" si="354"/>
        <v>15.789473684210549</v>
      </c>
      <c r="BU84" s="23">
        <f>BR84*100/BK84-100</f>
        <v>9.870898332436767</v>
      </c>
      <c r="BV84" s="23">
        <f t="shared" si="324"/>
        <v>27.2189349112426</v>
      </c>
      <c r="BW84" s="8"/>
      <c r="BX84" s="22">
        <v>5</v>
      </c>
      <c r="BY84" s="10">
        <f>BZ84/BX84</f>
        <v>250</v>
      </c>
      <c r="BZ84" s="11">
        <v>1250</v>
      </c>
      <c r="CA84" s="23">
        <f t="shared" si="325"/>
        <v>13.636363636363626</v>
      </c>
      <c r="CB84" s="23">
        <f>BY84*100/BR84-100</f>
        <v>-14.728682170542626</v>
      </c>
      <c r="CC84" s="23">
        <f t="shared" si="326"/>
        <v>-3.100775193798455</v>
      </c>
      <c r="CD84" s="8"/>
      <c r="CE84" s="22">
        <v>5.5</v>
      </c>
      <c r="CF84" s="10">
        <f>CG84/CE84</f>
        <v>204.54545454545453</v>
      </c>
      <c r="CG84" s="11">
        <v>1125</v>
      </c>
      <c r="CH84" s="23">
        <f t="shared" si="327"/>
        <v>10</v>
      </c>
      <c r="CI84" s="23">
        <f>CF84*100/BY84-100</f>
        <v>-18.181818181818187</v>
      </c>
      <c r="CJ84" s="23">
        <f t="shared" si="328"/>
        <v>-10</v>
      </c>
      <c r="CK84" s="8"/>
      <c r="CL84" s="22">
        <v>4.5</v>
      </c>
      <c r="CM84" s="10">
        <f>CN84/CL84</f>
        <v>250</v>
      </c>
      <c r="CN84" s="11">
        <v>1125</v>
      </c>
      <c r="CO84" s="23">
        <f t="shared" si="329"/>
        <v>-18.181818181818187</v>
      </c>
      <c r="CP84" s="23">
        <f>CM84*100/CF84-100</f>
        <v>22.22222222222223</v>
      </c>
      <c r="CQ84" s="23">
        <f t="shared" si="330"/>
        <v>0</v>
      </c>
      <c r="CR84" s="8"/>
      <c r="CS84" s="22">
        <v>6.5</v>
      </c>
      <c r="CT84" s="10">
        <f>1325/CS84</f>
        <v>203.84615384615384</v>
      </c>
      <c r="CU84" s="11">
        <v>1325</v>
      </c>
      <c r="CV84" s="23">
        <f t="shared" si="331"/>
        <v>44.44444444444446</v>
      </c>
      <c r="CW84" s="23">
        <f>CT84*100/CM84-100</f>
        <v>-18.461538461538467</v>
      </c>
      <c r="CX84" s="23">
        <f t="shared" si="332"/>
        <v>17.77777777777777</v>
      </c>
      <c r="CY84" s="8"/>
      <c r="CZ84" s="22">
        <v>0.5</v>
      </c>
      <c r="DA84" s="10">
        <f>DB84/CZ84</f>
        <v>250</v>
      </c>
      <c r="DB84" s="11">
        <v>125</v>
      </c>
      <c r="DC84" s="23">
        <f t="shared" si="333"/>
        <v>-92.3076923076923</v>
      </c>
      <c r="DD84" s="23">
        <f>DA84*100/CT84-100</f>
        <v>22.64150943396227</v>
      </c>
      <c r="DE84" s="23">
        <f t="shared" si="334"/>
        <v>-90.56603773584905</v>
      </c>
      <c r="DF84" s="8"/>
      <c r="DG84" s="22">
        <v>0.5</v>
      </c>
      <c r="DH84" s="10">
        <f>DI84/DG84</f>
        <v>250</v>
      </c>
      <c r="DI84" s="11">
        <v>125</v>
      </c>
      <c r="DJ84" s="23">
        <f t="shared" si="335"/>
        <v>0</v>
      </c>
      <c r="DK84" s="23">
        <f>DH84*100/DA84-100</f>
        <v>0</v>
      </c>
      <c r="DL84" s="23">
        <f t="shared" si="336"/>
        <v>0</v>
      </c>
      <c r="DM84" s="8"/>
      <c r="DN84" s="22"/>
      <c r="DO84" s="10"/>
      <c r="DP84" s="11"/>
      <c r="DQ84" s="23">
        <f t="shared" si="337"/>
        <v>-100</v>
      </c>
      <c r="DR84" s="23">
        <f>DO84*100/DH84-100</f>
        <v>-100</v>
      </c>
      <c r="DS84" s="23">
        <f t="shared" si="338"/>
        <v>-100</v>
      </c>
      <c r="DT84" s="8"/>
      <c r="DU84" s="22"/>
      <c r="DV84" s="10"/>
      <c r="DW84" s="11"/>
      <c r="DX84" s="23" t="e">
        <f t="shared" si="339"/>
        <v>#DIV/0!</v>
      </c>
      <c r="DY84" s="23" t="e">
        <f>DV84*100/DO84-100</f>
        <v>#DIV/0!</v>
      </c>
      <c r="DZ84" s="23" t="e">
        <f t="shared" si="340"/>
        <v>#DIV/0!</v>
      </c>
      <c r="EA84" s="8"/>
      <c r="EB84" s="22"/>
      <c r="EC84" s="10"/>
      <c r="ED84" s="11"/>
      <c r="EE84" s="23" t="e">
        <f t="shared" si="341"/>
        <v>#DIV/0!</v>
      </c>
      <c r="EF84" s="23" t="e">
        <f>EC84*100/DV84-100</f>
        <v>#DIV/0!</v>
      </c>
      <c r="EG84" s="23" t="e">
        <f t="shared" si="342"/>
        <v>#DIV/0!</v>
      </c>
      <c r="EH84" s="8"/>
      <c r="EI84" s="22"/>
      <c r="EJ84" s="10"/>
      <c r="EK84" s="11"/>
      <c r="EL84" s="23" t="e">
        <f t="shared" si="343"/>
        <v>#DIV/0!</v>
      </c>
      <c r="EM84" s="23" t="e">
        <f>EJ84*100/EC84-100</f>
        <v>#DIV/0!</v>
      </c>
      <c r="EN84" s="23" t="e">
        <f t="shared" si="344"/>
        <v>#DIV/0!</v>
      </c>
      <c r="EO84" s="8"/>
      <c r="EP84" s="22"/>
      <c r="EQ84" s="10" t="e">
        <f>ER84/EP84</f>
        <v>#DIV/0!</v>
      </c>
      <c r="ER84" s="11"/>
      <c r="ES84" s="23" t="e">
        <f t="shared" si="345"/>
        <v>#DIV/0!</v>
      </c>
      <c r="ET84" s="23" t="e">
        <f>EQ84*100/EJ84-100</f>
        <v>#DIV/0!</v>
      </c>
      <c r="EU84" s="23" t="e">
        <f t="shared" si="346"/>
        <v>#DIV/0!</v>
      </c>
      <c r="EV84" s="8"/>
      <c r="EW84" s="6" t="s">
        <v>1</v>
      </c>
      <c r="EX84" s="6" t="s">
        <v>1</v>
      </c>
      <c r="EY84" s="6" t="s">
        <v>1</v>
      </c>
      <c r="EZ84" s="6" t="s">
        <v>1</v>
      </c>
      <c r="FA84" s="6" t="s">
        <v>1</v>
      </c>
      <c r="FB84" s="6" t="s">
        <v>1</v>
      </c>
      <c r="FC84" s="6" t="s">
        <v>1</v>
      </c>
      <c r="FD84" s="8"/>
      <c r="FE84" s="33" t="s">
        <v>1</v>
      </c>
      <c r="FF84" s="33" t="s">
        <v>1</v>
      </c>
      <c r="FG84" s="33" t="s">
        <v>1</v>
      </c>
      <c r="FH84" s="33" t="s">
        <v>1</v>
      </c>
      <c r="FI84" s="33" t="s">
        <v>1</v>
      </c>
      <c r="FJ84" s="33" t="s">
        <v>1</v>
      </c>
      <c r="FK84" s="33" t="s">
        <v>1</v>
      </c>
      <c r="FL84" s="33" t="s">
        <v>1</v>
      </c>
      <c r="FM84" s="23"/>
      <c r="FN84" s="22">
        <v>0</v>
      </c>
      <c r="FO84" s="10" t="e">
        <f t="shared" si="220"/>
        <v>#DIV/0!</v>
      </c>
      <c r="FP84" s="11">
        <v>0</v>
      </c>
      <c r="FQ84" s="11">
        <v>0</v>
      </c>
      <c r="FR84" s="23" t="e">
        <f>FN84*100/FE84-100</f>
        <v>#DIV/0!</v>
      </c>
      <c r="FS84" s="23" t="e">
        <f>FO84*100/FF84-100</f>
        <v>#DIV/0!</v>
      </c>
      <c r="FT84" s="23" t="e">
        <f t="shared" si="368"/>
        <v>#DIV/0!</v>
      </c>
      <c r="FU84" s="23" t="e">
        <f t="shared" si="368"/>
        <v>#DIV/0!</v>
      </c>
      <c r="FV84" s="23"/>
      <c r="FW84" s="22">
        <v>0</v>
      </c>
      <c r="FX84" s="10" t="e">
        <f>FY84/FW84</f>
        <v>#DIV/0!</v>
      </c>
      <c r="FY84" s="22">
        <v>0</v>
      </c>
      <c r="FZ84" s="22">
        <v>0</v>
      </c>
      <c r="GA84" s="23" t="e">
        <f t="shared" si="372"/>
        <v>#DIV/0!</v>
      </c>
      <c r="GB84" s="23" t="e">
        <f t="shared" si="372"/>
        <v>#DIV/0!</v>
      </c>
      <c r="GC84" s="23" t="e">
        <f t="shared" si="372"/>
        <v>#DIV/0!</v>
      </c>
      <c r="GD84" s="23" t="e">
        <f t="shared" si="372"/>
        <v>#DIV/0!</v>
      </c>
      <c r="GE84" s="23"/>
      <c r="GF84" s="22">
        <v>2.5</v>
      </c>
      <c r="GG84" s="10">
        <f>GH84/GF84</f>
        <v>300</v>
      </c>
      <c r="GH84" s="22">
        <v>750</v>
      </c>
      <c r="GI84" s="22">
        <v>750</v>
      </c>
      <c r="GJ84" s="23" t="e">
        <f t="shared" si="300"/>
        <v>#DIV/0!</v>
      </c>
      <c r="GK84" s="23" t="e">
        <f t="shared" si="300"/>
        <v>#DIV/0!</v>
      </c>
      <c r="GL84" s="23" t="e">
        <f t="shared" si="363"/>
        <v>#DIV/0!</v>
      </c>
      <c r="GM84" s="23" t="e">
        <f t="shared" si="363"/>
        <v>#DIV/0!</v>
      </c>
      <c r="GN84" s="23"/>
      <c r="GO84" s="22">
        <v>0</v>
      </c>
      <c r="GP84" s="10" t="e">
        <f>GQ84/GO84</f>
        <v>#DIV/0!</v>
      </c>
      <c r="GQ84" s="20">
        <v>0</v>
      </c>
      <c r="GR84" s="20">
        <v>0</v>
      </c>
      <c r="GS84" s="23">
        <f t="shared" si="301"/>
        <v>-100</v>
      </c>
      <c r="GT84" s="23" t="e">
        <f t="shared" si="301"/>
        <v>#DIV/0!</v>
      </c>
      <c r="GU84" s="23">
        <f t="shared" si="364"/>
        <v>-100</v>
      </c>
      <c r="GV84" s="23">
        <f t="shared" si="365"/>
        <v>-100</v>
      </c>
      <c r="GW84" s="23"/>
      <c r="GX84" s="22">
        <v>0</v>
      </c>
      <c r="GY84" s="10" t="e">
        <f>GZ84/GX84</f>
        <v>#DIV/0!</v>
      </c>
      <c r="GZ84" s="20">
        <v>0</v>
      </c>
      <c r="HA84" s="20">
        <v>0</v>
      </c>
      <c r="HB84" s="23" t="e">
        <f t="shared" si="302"/>
        <v>#DIV/0!</v>
      </c>
      <c r="HC84" s="23" t="e">
        <f>GY84*100/GP84-100</f>
        <v>#DIV/0!</v>
      </c>
      <c r="HD84" s="23" t="e">
        <f t="shared" si="366"/>
        <v>#DIV/0!</v>
      </c>
      <c r="HE84" s="23" t="e">
        <f t="shared" si="367"/>
        <v>#DIV/0!</v>
      </c>
      <c r="HF84" s="23"/>
      <c r="HG84" s="22">
        <v>0</v>
      </c>
      <c r="HH84" s="10" t="e">
        <f>HI84/HG84</f>
        <v>#DIV/0!</v>
      </c>
      <c r="HI84" s="20">
        <v>0</v>
      </c>
      <c r="HJ84" s="20">
        <v>0</v>
      </c>
      <c r="HK84" s="23" t="e">
        <f t="shared" si="304"/>
        <v>#DIV/0!</v>
      </c>
      <c r="HL84" s="23" t="e">
        <f>HH84*100/GY84-100</f>
        <v>#DIV/0!</v>
      </c>
      <c r="HM84" s="23" t="e">
        <f t="shared" si="105"/>
        <v>#DIV/0!</v>
      </c>
      <c r="HN84" s="23" t="e">
        <f t="shared" si="106"/>
        <v>#DIV/0!</v>
      </c>
      <c r="HO84" s="23"/>
      <c r="HP84" s="22">
        <v>2.1</v>
      </c>
      <c r="HQ84" s="10">
        <f>HR84/HP84</f>
        <v>180</v>
      </c>
      <c r="HR84" s="20">
        <v>378</v>
      </c>
      <c r="HS84" s="20">
        <v>378</v>
      </c>
      <c r="HT84" s="23" t="e">
        <f t="shared" si="306"/>
        <v>#DIV/0!</v>
      </c>
      <c r="HU84" s="23" t="e">
        <f>HQ84*100/HH84-100</f>
        <v>#DIV/0!</v>
      </c>
      <c r="HV84" s="23" t="e">
        <f t="shared" si="370"/>
        <v>#DIV/0!</v>
      </c>
      <c r="HW84" s="23" t="e">
        <f t="shared" si="371"/>
        <v>#DIV/0!</v>
      </c>
      <c r="HX84" s="23"/>
      <c r="HY84" s="22"/>
      <c r="HZ84" s="10" t="e">
        <f>IA84/HY84</f>
        <v>#DIV/0!</v>
      </c>
      <c r="IA84" s="20"/>
      <c r="IB84" s="20"/>
      <c r="IC84" s="23">
        <f t="shared" si="308"/>
        <v>-100</v>
      </c>
      <c r="ID84" s="23" t="e">
        <f>HZ84*100/HQ84-100</f>
        <v>#DIV/0!</v>
      </c>
      <c r="IE84" s="23">
        <f t="shared" si="309"/>
        <v>-100</v>
      </c>
      <c r="IF84" s="23">
        <f t="shared" si="310"/>
        <v>-100</v>
      </c>
      <c r="IG84" s="23"/>
      <c r="IH84" s="1" t="s">
        <v>80</v>
      </c>
      <c r="II84" s="29">
        <f t="shared" si="357"/>
        <v>0.4166666666666667</v>
      </c>
      <c r="IJ84" s="30" t="e">
        <f t="shared" si="358"/>
        <v>#DIV/0!</v>
      </c>
      <c r="IK84" s="29">
        <f t="shared" si="359"/>
        <v>125</v>
      </c>
      <c r="IL84" s="25">
        <f t="shared" si="360"/>
        <v>404</v>
      </c>
      <c r="IM84" s="25" t="e">
        <f t="shared" si="361"/>
        <v>#DIV/0!</v>
      </c>
      <c r="IN84" s="25">
        <f t="shared" si="362"/>
        <v>202.39999999999998</v>
      </c>
      <c r="IP84" s="30">
        <f>HP84*100/Italia!BR84</f>
        <v>3.75603648721159</v>
      </c>
      <c r="IQ84" s="30">
        <f>HR84*100/Italia!BT84</f>
        <v>2.6535626535626538</v>
      </c>
      <c r="IR84" s="30">
        <f>HS84*100/Italia!BU84</f>
        <v>2.761744721268357</v>
      </c>
    </row>
    <row r="85" spans="1:252" ht="12">
      <c r="A85" s="1" t="s">
        <v>81</v>
      </c>
      <c r="B85" s="19">
        <f>B84+B83</f>
        <v>5137</v>
      </c>
      <c r="C85" s="6" t="s">
        <v>1</v>
      </c>
      <c r="D85" s="9">
        <f>D84+D83</f>
        <v>469000</v>
      </c>
      <c r="E85" s="9"/>
      <c r="F85" s="19">
        <f>F83+F84</f>
        <v>5146</v>
      </c>
      <c r="G85" s="6" t="s">
        <v>1</v>
      </c>
      <c r="H85" s="9">
        <f>H84+H83</f>
        <v>400050</v>
      </c>
      <c r="I85" s="23">
        <f t="shared" si="349"/>
        <v>0.17519953280124412</v>
      </c>
      <c r="J85" s="24" t="s">
        <v>1</v>
      </c>
      <c r="K85" s="23">
        <f t="shared" si="350"/>
        <v>-14.701492537313428</v>
      </c>
      <c r="L85" s="8"/>
      <c r="M85" s="19">
        <f>M83+M84</f>
        <v>4494.5</v>
      </c>
      <c r="N85" s="6" t="s">
        <v>1</v>
      </c>
      <c r="O85" s="9">
        <f>O84+O83</f>
        <v>400325</v>
      </c>
      <c r="P85" s="23">
        <f t="shared" si="351"/>
        <v>-12.660318694131362</v>
      </c>
      <c r="Q85" s="24" t="s">
        <v>1</v>
      </c>
      <c r="R85" s="23">
        <f t="shared" si="352"/>
        <v>0.06874140732408307</v>
      </c>
      <c r="S85" s="8"/>
      <c r="T85" s="19">
        <f>T83+T84</f>
        <v>4013.1</v>
      </c>
      <c r="U85" s="6" t="s">
        <v>1</v>
      </c>
      <c r="V85" s="9">
        <f>V84+V83</f>
        <v>384330</v>
      </c>
      <c r="W85" s="23">
        <f t="shared" si="311"/>
        <v>-10.710868839692964</v>
      </c>
      <c r="X85" s="24" t="s">
        <v>1</v>
      </c>
      <c r="Y85" s="23">
        <f t="shared" si="312"/>
        <v>-3.995503653281702</v>
      </c>
      <c r="Z85" s="8"/>
      <c r="AA85" s="19">
        <f>AA83+AA84</f>
        <v>5368</v>
      </c>
      <c r="AB85" s="6" t="s">
        <v>1</v>
      </c>
      <c r="AC85" s="9">
        <f>AC84+AC83</f>
        <v>410500</v>
      </c>
      <c r="AD85" s="23">
        <f t="shared" si="313"/>
        <v>33.761929680297044</v>
      </c>
      <c r="AE85" s="24" t="s">
        <v>1</v>
      </c>
      <c r="AF85" s="23">
        <f t="shared" si="314"/>
        <v>6.80925246532928</v>
      </c>
      <c r="AG85" s="8"/>
      <c r="AH85" s="19">
        <f>AH83+AH84</f>
        <v>5087.03</v>
      </c>
      <c r="AI85" s="6" t="s">
        <v>1</v>
      </c>
      <c r="AJ85" s="9">
        <f>AJ84+AJ83</f>
        <v>382503</v>
      </c>
      <c r="AK85" s="23">
        <f t="shared" si="315"/>
        <v>-5.234165424739189</v>
      </c>
      <c r="AL85" s="24" t="s">
        <v>1</v>
      </c>
      <c r="AM85" s="23">
        <f t="shared" si="316"/>
        <v>-6.820219244823392</v>
      </c>
      <c r="AN85" s="8"/>
      <c r="AO85" s="19">
        <f>AO83+AO84</f>
        <v>4504.03</v>
      </c>
      <c r="AP85" s="6" t="s">
        <v>1</v>
      </c>
      <c r="AQ85" s="9">
        <f>AQ84+AQ83</f>
        <v>327603</v>
      </c>
      <c r="AR85" s="23">
        <f t="shared" si="317"/>
        <v>-11.460518219865023</v>
      </c>
      <c r="AS85" s="24" t="s">
        <v>1</v>
      </c>
      <c r="AT85" s="23">
        <f t="shared" si="318"/>
        <v>-14.352828605265842</v>
      </c>
      <c r="AU85" s="8"/>
      <c r="AV85" s="19">
        <f>AV83+AV84</f>
        <v>4042.53</v>
      </c>
      <c r="AW85" s="6" t="s">
        <v>1</v>
      </c>
      <c r="AX85" s="9">
        <f>AX84+AX83</f>
        <v>318118</v>
      </c>
      <c r="AY85" s="23">
        <f t="shared" si="319"/>
        <v>-10.2463793536011</v>
      </c>
      <c r="AZ85" s="24" t="s">
        <v>1</v>
      </c>
      <c r="BA85" s="23">
        <f t="shared" si="320"/>
        <v>-2.895272631813512</v>
      </c>
      <c r="BB85" s="8"/>
      <c r="BC85" s="19">
        <f>BC83+BC84</f>
        <v>3844</v>
      </c>
      <c r="BD85" s="6" t="s">
        <v>1</v>
      </c>
      <c r="BE85" s="9">
        <f>BE84+BE83</f>
        <v>264416</v>
      </c>
      <c r="BF85" s="23">
        <f t="shared" si="321"/>
        <v>-4.911033436981299</v>
      </c>
      <c r="BG85" s="24" t="s">
        <v>1</v>
      </c>
      <c r="BH85" s="23">
        <f t="shared" si="322"/>
        <v>-16.881157306408312</v>
      </c>
      <c r="BI85" s="8"/>
      <c r="BJ85" s="19">
        <f>BJ83+BJ84</f>
        <v>3228.8</v>
      </c>
      <c r="BK85" s="6" t="s">
        <v>1</v>
      </c>
      <c r="BL85" s="9">
        <f>BL84+BL83</f>
        <v>243002</v>
      </c>
      <c r="BM85" s="23">
        <f t="shared" si="353"/>
        <v>-16.004162330905302</v>
      </c>
      <c r="BN85" s="24" t="s">
        <v>1</v>
      </c>
      <c r="BO85" s="23">
        <f t="shared" si="323"/>
        <v>-8.09860220258986</v>
      </c>
      <c r="BP85" s="8"/>
      <c r="BQ85" s="19">
        <f>BQ83+BQ84</f>
        <v>4024.4</v>
      </c>
      <c r="BR85" s="6" t="s">
        <v>1</v>
      </c>
      <c r="BS85" s="9">
        <f>BS84+BS83</f>
        <v>286577</v>
      </c>
      <c r="BT85" s="23">
        <f t="shared" si="354"/>
        <v>24.64073339940535</v>
      </c>
      <c r="BU85" s="24" t="s">
        <v>1</v>
      </c>
      <c r="BV85" s="23">
        <f t="shared" si="324"/>
        <v>17.931951177356567</v>
      </c>
      <c r="BW85" s="8"/>
      <c r="BX85" s="19">
        <f>BX83+BX84</f>
        <v>4205</v>
      </c>
      <c r="BY85" s="6" t="s">
        <v>1</v>
      </c>
      <c r="BZ85" s="9">
        <f>BZ84+BZ83</f>
        <v>326826</v>
      </c>
      <c r="CA85" s="23">
        <f t="shared" si="325"/>
        <v>4.487625484544282</v>
      </c>
      <c r="CB85" s="24" t="s">
        <v>1</v>
      </c>
      <c r="CC85" s="23">
        <f t="shared" si="326"/>
        <v>14.044741901827436</v>
      </c>
      <c r="CD85" s="8"/>
      <c r="CE85" s="19">
        <f>CE83+CE84</f>
        <v>4352.5</v>
      </c>
      <c r="CF85" s="6" t="s">
        <v>1</v>
      </c>
      <c r="CG85" s="9">
        <f>CG84+CG83</f>
        <v>307112</v>
      </c>
      <c r="CH85" s="23">
        <f t="shared" si="327"/>
        <v>3.507728894173596</v>
      </c>
      <c r="CI85" s="24" t="s">
        <v>1</v>
      </c>
      <c r="CJ85" s="23">
        <f t="shared" si="328"/>
        <v>-6.031955841946484</v>
      </c>
      <c r="CK85" s="8"/>
      <c r="CL85" s="19">
        <f>CL83+CL84</f>
        <v>3396.5</v>
      </c>
      <c r="CM85" s="6" t="s">
        <v>1</v>
      </c>
      <c r="CN85" s="9">
        <f>CN84+CN83</f>
        <v>294022</v>
      </c>
      <c r="CO85" s="23">
        <f t="shared" si="329"/>
        <v>-21.964388282596204</v>
      </c>
      <c r="CP85" s="24" t="s">
        <v>1</v>
      </c>
      <c r="CQ85" s="23">
        <f t="shared" si="330"/>
        <v>-4.262288676443774</v>
      </c>
      <c r="CR85" s="8"/>
      <c r="CS85" s="19">
        <f>CS83+CS84</f>
        <v>3185.5</v>
      </c>
      <c r="CT85" s="6" t="s">
        <v>1</v>
      </c>
      <c r="CU85" s="9">
        <f>CU84+CU83</f>
        <v>255523</v>
      </c>
      <c r="CV85" s="23">
        <f t="shared" si="331"/>
        <v>-6.212277344325045</v>
      </c>
      <c r="CW85" s="24" t="s">
        <v>1</v>
      </c>
      <c r="CX85" s="23">
        <f t="shared" si="332"/>
        <v>-13.093918142179831</v>
      </c>
      <c r="CY85" s="8"/>
      <c r="CZ85" s="19">
        <f>CZ83+CZ84</f>
        <v>2870.5</v>
      </c>
      <c r="DA85" s="6" t="s">
        <v>1</v>
      </c>
      <c r="DB85" s="9">
        <f>DB84+DB83</f>
        <v>220226</v>
      </c>
      <c r="DC85" s="23">
        <f t="shared" si="333"/>
        <v>-9.88855752629101</v>
      </c>
      <c r="DD85" s="24" t="s">
        <v>1</v>
      </c>
      <c r="DE85" s="23">
        <f t="shared" si="334"/>
        <v>-13.813629301471877</v>
      </c>
      <c r="DF85" s="8"/>
      <c r="DG85" s="19">
        <f>DG83+DG84</f>
        <v>3026.5</v>
      </c>
      <c r="DH85" s="6" t="s">
        <v>1</v>
      </c>
      <c r="DI85" s="9">
        <f>DI84+DI83</f>
        <v>208456</v>
      </c>
      <c r="DJ85" s="23">
        <f t="shared" si="335"/>
        <v>5.434593276432679</v>
      </c>
      <c r="DK85" s="24" t="s">
        <v>1</v>
      </c>
      <c r="DL85" s="23">
        <f t="shared" si="336"/>
        <v>-5.34450973091279</v>
      </c>
      <c r="DM85" s="8"/>
      <c r="DN85" s="19">
        <f>DN83+DN84</f>
        <v>3024</v>
      </c>
      <c r="DO85" s="6" t="s">
        <v>1</v>
      </c>
      <c r="DP85" s="9">
        <f>DP84+DP83</f>
        <v>206945</v>
      </c>
      <c r="DQ85" s="23">
        <f t="shared" si="337"/>
        <v>-0.08260366760283944</v>
      </c>
      <c r="DR85" s="24" t="s">
        <v>1</v>
      </c>
      <c r="DS85" s="23">
        <f t="shared" si="338"/>
        <v>-0.7248532064320585</v>
      </c>
      <c r="DT85" s="8"/>
      <c r="DU85" s="19">
        <f>DU83+DU84</f>
        <v>3815</v>
      </c>
      <c r="DV85" s="6" t="s">
        <v>1</v>
      </c>
      <c r="DW85" s="9">
        <f>DW84+DW83</f>
        <v>201348</v>
      </c>
      <c r="DX85" s="23">
        <f t="shared" si="339"/>
        <v>26.157407407407405</v>
      </c>
      <c r="DY85" s="24" t="s">
        <v>1</v>
      </c>
      <c r="DZ85" s="23">
        <f t="shared" si="340"/>
        <v>-2.704583343400415</v>
      </c>
      <c r="EA85" s="8"/>
      <c r="EB85" s="19">
        <f>EB83+EB84</f>
        <v>4002</v>
      </c>
      <c r="EC85" s="6" t="s">
        <v>1</v>
      </c>
      <c r="ED85" s="9">
        <f>ED84+ED83</f>
        <v>293090</v>
      </c>
      <c r="EE85" s="23">
        <f t="shared" si="341"/>
        <v>4.901703800786365</v>
      </c>
      <c r="EF85" s="24" t="s">
        <v>1</v>
      </c>
      <c r="EG85" s="23">
        <f t="shared" si="342"/>
        <v>45.56389931859269</v>
      </c>
      <c r="EH85" s="8"/>
      <c r="EI85" s="19">
        <f>EI83+EI84</f>
        <v>4170</v>
      </c>
      <c r="EJ85" s="6" t="s">
        <v>1</v>
      </c>
      <c r="EK85" s="9">
        <f>EK84+EK83</f>
        <v>302304</v>
      </c>
      <c r="EL85" s="23">
        <f t="shared" si="343"/>
        <v>4.197901049475263</v>
      </c>
      <c r="EM85" s="24" t="s">
        <v>1</v>
      </c>
      <c r="EN85" s="23">
        <f t="shared" si="344"/>
        <v>3.14374424238288</v>
      </c>
      <c r="EO85" s="8"/>
      <c r="EP85" s="19">
        <f>EP83+EP84</f>
        <v>4128</v>
      </c>
      <c r="EQ85" s="6" t="s">
        <v>1</v>
      </c>
      <c r="ER85" s="9">
        <f>ER84+ER83</f>
        <v>325300</v>
      </c>
      <c r="ES85" s="23">
        <f t="shared" si="345"/>
        <v>-1.007194244604321</v>
      </c>
      <c r="ET85" s="24" t="s">
        <v>1</v>
      </c>
      <c r="EU85" s="23">
        <f t="shared" si="346"/>
        <v>7.606912247274266</v>
      </c>
      <c r="EV85" s="8"/>
      <c r="EW85" s="19">
        <f>EW83+EW84</f>
        <v>4023</v>
      </c>
      <c r="EX85" s="10">
        <f>EY85/EW85</f>
        <v>69.51976137211037</v>
      </c>
      <c r="EY85" s="9">
        <f>EY84+EY83</f>
        <v>279678</v>
      </c>
      <c r="EZ85" s="9">
        <f>EZ84+EZ83</f>
        <v>279678</v>
      </c>
      <c r="FA85" s="23">
        <f t="shared" si="198"/>
        <v>-2.543604651162795</v>
      </c>
      <c r="FB85" s="24" t="s">
        <v>1</v>
      </c>
      <c r="FC85" s="23">
        <f t="shared" si="199"/>
        <v>-14.024592683676602</v>
      </c>
      <c r="FD85" s="8"/>
      <c r="FE85" s="19">
        <f>FE83+FE84</f>
        <v>4482</v>
      </c>
      <c r="FF85" s="10">
        <f>FG85/FE85</f>
        <v>62.85631414547077</v>
      </c>
      <c r="FG85" s="9">
        <f>FG84+FG83</f>
        <v>281722</v>
      </c>
      <c r="FH85" s="9">
        <f>FH84+FH83</f>
        <v>281722</v>
      </c>
      <c r="FI85" s="23">
        <f>FE85*100/EW85-100</f>
        <v>11.40939597315436</v>
      </c>
      <c r="FJ85" s="23">
        <f>FF85*100/EX85-100</f>
        <v>-9.584968496903969</v>
      </c>
      <c r="FK85" s="23">
        <f>FG85*100/EY85-100</f>
        <v>0.7308404665365202</v>
      </c>
      <c r="FL85" s="23">
        <f>FH85*100/EZ85-100</f>
        <v>0.7308404665365202</v>
      </c>
      <c r="FM85" s="23"/>
      <c r="FN85" s="19">
        <f>FN83+FN84</f>
        <v>5227</v>
      </c>
      <c r="FO85" s="6" t="s">
        <v>1</v>
      </c>
      <c r="FP85" s="19">
        <f>FP83+FP84</f>
        <v>295177</v>
      </c>
      <c r="FQ85" s="9">
        <f>FQ84+FQ83</f>
        <v>295177</v>
      </c>
      <c r="FR85" s="24" t="s">
        <v>1</v>
      </c>
      <c r="FS85" s="24" t="s">
        <v>1</v>
      </c>
      <c r="FT85" s="23">
        <f t="shared" si="368"/>
        <v>4.775984836115029</v>
      </c>
      <c r="FU85" s="23">
        <f t="shared" si="368"/>
        <v>4.775984836115029</v>
      </c>
      <c r="FV85" s="23"/>
      <c r="FW85" s="19">
        <f>FW83+FW84</f>
        <v>0</v>
      </c>
      <c r="FX85" s="6" t="s">
        <v>1</v>
      </c>
      <c r="FY85" s="19">
        <f>FY83+FY84</f>
        <v>0</v>
      </c>
      <c r="FZ85" s="19">
        <f>FZ83+FZ84</f>
        <v>0</v>
      </c>
      <c r="GA85" s="24" t="s">
        <v>1</v>
      </c>
      <c r="GB85" s="24" t="s">
        <v>1</v>
      </c>
      <c r="GC85" s="24" t="s">
        <v>1</v>
      </c>
      <c r="GD85" s="24" t="s">
        <v>1</v>
      </c>
      <c r="GE85" s="23"/>
      <c r="GF85" s="19">
        <f>GF83+GF84</f>
        <v>5472.5</v>
      </c>
      <c r="GG85" s="6" t="s">
        <v>1</v>
      </c>
      <c r="GH85" s="19">
        <f>GH83+GH84</f>
        <v>310815</v>
      </c>
      <c r="GI85" s="19">
        <f>GI83+GI84</f>
        <v>310815</v>
      </c>
      <c r="GJ85" s="23" t="e">
        <f t="shared" si="300"/>
        <v>#DIV/0!</v>
      </c>
      <c r="GK85" s="24" t="s">
        <v>1</v>
      </c>
      <c r="GL85" s="23" t="e">
        <f t="shared" si="363"/>
        <v>#DIV/0!</v>
      </c>
      <c r="GM85" s="23" t="e">
        <f t="shared" si="363"/>
        <v>#DIV/0!</v>
      </c>
      <c r="GN85" s="23"/>
      <c r="GO85" s="19">
        <f>GO83+GO84</f>
        <v>5225</v>
      </c>
      <c r="GP85" s="6" t="s">
        <v>1</v>
      </c>
      <c r="GQ85" s="19">
        <f>GQ83+GQ84</f>
        <v>290481</v>
      </c>
      <c r="GR85" s="19">
        <f>GR83+GR84</f>
        <v>290481</v>
      </c>
      <c r="GS85" s="23">
        <f t="shared" si="301"/>
        <v>-4.522613065326638</v>
      </c>
      <c r="GT85" s="24" t="s">
        <v>1</v>
      </c>
      <c r="GU85" s="23">
        <f t="shared" si="364"/>
        <v>-6.5421553013850655</v>
      </c>
      <c r="GV85" s="23">
        <f t="shared" si="365"/>
        <v>-6.5421553013850655</v>
      </c>
      <c r="GW85" s="23"/>
      <c r="GX85" s="19">
        <f>GX83+GX84</f>
        <v>3488</v>
      </c>
      <c r="GY85" s="6" t="s">
        <v>1</v>
      </c>
      <c r="GZ85" s="19">
        <f>GZ83+GZ84</f>
        <v>199104</v>
      </c>
      <c r="HA85" s="19">
        <f>HA83+HA84</f>
        <v>199104</v>
      </c>
      <c r="HB85" s="23">
        <f t="shared" si="302"/>
        <v>-33.24401913875599</v>
      </c>
      <c r="HC85" s="24" t="s">
        <v>1</v>
      </c>
      <c r="HD85" s="23">
        <f t="shared" si="366"/>
        <v>-31.457134890061653</v>
      </c>
      <c r="HE85" s="23">
        <f t="shared" si="367"/>
        <v>-31.457134890061653</v>
      </c>
      <c r="HF85" s="23"/>
      <c r="HG85" s="19">
        <f>HG83+HG84</f>
        <v>4760</v>
      </c>
      <c r="HH85" s="6" t="s">
        <v>1</v>
      </c>
      <c r="HI85" s="19">
        <f>HI83+HI84</f>
        <v>280762</v>
      </c>
      <c r="HJ85" s="19">
        <f>HJ83+HJ84</f>
        <v>280762</v>
      </c>
      <c r="HK85" s="23">
        <f t="shared" si="304"/>
        <v>36.46788990825689</v>
      </c>
      <c r="HL85" s="24" t="s">
        <v>1</v>
      </c>
      <c r="HM85" s="23">
        <f t="shared" si="105"/>
        <v>41.01273706203793</v>
      </c>
      <c r="HN85" s="23">
        <f t="shared" si="106"/>
        <v>41.01273706203793</v>
      </c>
      <c r="HO85" s="23"/>
      <c r="HP85" s="19">
        <f>HP83+HP84</f>
        <v>4595.1</v>
      </c>
      <c r="HQ85" s="6" t="s">
        <v>1</v>
      </c>
      <c r="HR85" s="19">
        <f>HR83+HR84</f>
        <v>226663</v>
      </c>
      <c r="HS85" s="19">
        <f>HS83+HS84</f>
        <v>226663</v>
      </c>
      <c r="HT85" s="23">
        <f t="shared" si="306"/>
        <v>-3.464285714285708</v>
      </c>
      <c r="HU85" s="24" t="s">
        <v>1</v>
      </c>
      <c r="HV85" s="23">
        <f t="shared" si="370"/>
        <v>-19.268633219595245</v>
      </c>
      <c r="HW85" s="23">
        <f t="shared" si="371"/>
        <v>-19.268633219595245</v>
      </c>
      <c r="HX85" s="23"/>
      <c r="HY85" s="19">
        <f>HY83+HY84</f>
        <v>5896</v>
      </c>
      <c r="HZ85" s="6" t="s">
        <v>1</v>
      </c>
      <c r="IA85" s="19">
        <f>IA83+IA84</f>
        <v>450104</v>
      </c>
      <c r="IB85" s="19">
        <f>IB83+IB84</f>
        <v>450104</v>
      </c>
      <c r="IC85" s="23">
        <f t="shared" si="308"/>
        <v>28.310591717264032</v>
      </c>
      <c r="ID85" s="24" t="s">
        <v>1</v>
      </c>
      <c r="IE85" s="23">
        <f t="shared" si="309"/>
        <v>98.57850641701557</v>
      </c>
      <c r="IF85" s="23">
        <f t="shared" si="310"/>
        <v>98.57850641701557</v>
      </c>
      <c r="IG85" s="23"/>
      <c r="IH85" s="1" t="s">
        <v>81</v>
      </c>
      <c r="II85" s="29">
        <f t="shared" si="357"/>
        <v>4097.55</v>
      </c>
      <c r="IJ85" s="30">
        <f t="shared" si="358"/>
        <v>66.18803775879057</v>
      </c>
      <c r="IK85" s="29">
        <f t="shared" si="359"/>
        <v>256534.3</v>
      </c>
      <c r="IL85" s="25">
        <f t="shared" si="360"/>
        <v>12.14262181059415</v>
      </c>
      <c r="IM85" s="25">
        <f t="shared" si="361"/>
        <v>-100</v>
      </c>
      <c r="IN85" s="25">
        <f t="shared" si="362"/>
        <v>-11.644173897993369</v>
      </c>
      <c r="IP85" s="30">
        <f>HP85*100/Italia!BR85</f>
        <v>30.757213396867858</v>
      </c>
      <c r="IQ85" s="30">
        <f>HR85*100/Italia!BT85</f>
        <v>29.77338584042433</v>
      </c>
      <c r="IR85" s="30">
        <f>HS85*100/Italia!BU85</f>
        <v>30.34225276130122</v>
      </c>
    </row>
    <row r="86" spans="1:252" ht="12">
      <c r="A86" s="1" t="s">
        <v>82</v>
      </c>
      <c r="B86" s="20">
        <v>14400</v>
      </c>
      <c r="C86" s="10">
        <f>8699050/B86</f>
        <v>604.1006944444445</v>
      </c>
      <c r="D86" s="11">
        <v>8250300</v>
      </c>
      <c r="E86" s="9"/>
      <c r="F86" s="20">
        <v>12080</v>
      </c>
      <c r="G86" s="10">
        <v>590.8</v>
      </c>
      <c r="H86" s="11">
        <v>6925000</v>
      </c>
      <c r="I86" s="23">
        <f t="shared" si="349"/>
        <v>-16.111111111111114</v>
      </c>
      <c r="J86" s="23">
        <f>G86*100/C86-100</f>
        <v>-2.2017346721768547</v>
      </c>
      <c r="K86" s="23">
        <f t="shared" si="350"/>
        <v>-16.063658291213656</v>
      </c>
      <c r="L86" s="8"/>
      <c r="M86" s="20">
        <v>11920</v>
      </c>
      <c r="N86" s="10">
        <v>617.5</v>
      </c>
      <c r="O86" s="11">
        <v>7190900</v>
      </c>
      <c r="P86" s="23">
        <f t="shared" si="351"/>
        <v>-1.3245033112582831</v>
      </c>
      <c r="Q86" s="23">
        <f>N86*100/G86-100</f>
        <v>4.519295870006772</v>
      </c>
      <c r="R86" s="23">
        <f t="shared" si="352"/>
        <v>3.839711191335738</v>
      </c>
      <c r="S86" s="8"/>
      <c r="T86" s="20">
        <v>12819</v>
      </c>
      <c r="U86" s="10">
        <v>506.1</v>
      </c>
      <c r="V86" s="11">
        <v>6206500</v>
      </c>
      <c r="W86" s="23">
        <f t="shared" si="311"/>
        <v>7.541946308724832</v>
      </c>
      <c r="X86" s="23">
        <f>U86*100/N86-100</f>
        <v>-18.040485829959508</v>
      </c>
      <c r="Y86" s="23">
        <f t="shared" si="312"/>
        <v>-13.689524259828389</v>
      </c>
      <c r="Z86" s="8"/>
      <c r="AA86" s="20">
        <v>17523</v>
      </c>
      <c r="AB86" s="10">
        <f>10249677/AA86</f>
        <v>584.9270672829995</v>
      </c>
      <c r="AC86" s="11">
        <v>9207400</v>
      </c>
      <c r="AD86" s="23">
        <f t="shared" si="313"/>
        <v>36.695530072548564</v>
      </c>
      <c r="AE86" s="23">
        <f>AB86*100/U86-100</f>
        <v>15.575393654020843</v>
      </c>
      <c r="AF86" s="23">
        <f t="shared" si="314"/>
        <v>48.3509224200435</v>
      </c>
      <c r="AG86" s="8"/>
      <c r="AH86" s="20">
        <v>19412</v>
      </c>
      <c r="AI86" s="10">
        <v>539.9</v>
      </c>
      <c r="AJ86" s="11">
        <v>9827700</v>
      </c>
      <c r="AK86" s="23">
        <f t="shared" si="315"/>
        <v>10.780117559778574</v>
      </c>
      <c r="AL86" s="23">
        <f>AI86*100/AB86-100</f>
        <v>-7.697894284863807</v>
      </c>
      <c r="AM86" s="23">
        <f t="shared" si="316"/>
        <v>6.736972435215151</v>
      </c>
      <c r="AN86" s="8"/>
      <c r="AO86" s="20">
        <v>19619</v>
      </c>
      <c r="AP86" s="10">
        <v>547.5</v>
      </c>
      <c r="AQ86" s="11">
        <v>9870000</v>
      </c>
      <c r="AR86" s="23">
        <f t="shared" si="317"/>
        <v>1.0663507109004797</v>
      </c>
      <c r="AS86" s="23">
        <f>AP86*100/AI86-100</f>
        <v>1.407668086682719</v>
      </c>
      <c r="AT86" s="23">
        <f t="shared" si="318"/>
        <v>0.43041606886657746</v>
      </c>
      <c r="AU86" s="8"/>
      <c r="AV86" s="20">
        <v>19880</v>
      </c>
      <c r="AW86" s="10">
        <v>550.7</v>
      </c>
      <c r="AX86" s="11">
        <v>10088801</v>
      </c>
      <c r="AY86" s="23">
        <f t="shared" si="319"/>
        <v>1.3303430348131968</v>
      </c>
      <c r="AZ86" s="23">
        <f>AW86*100/AP86-100</f>
        <v>0.5844748858447559</v>
      </c>
      <c r="BA86" s="23">
        <f t="shared" si="320"/>
        <v>2.2168287740628188</v>
      </c>
      <c r="BB86" s="8"/>
      <c r="BC86" s="20">
        <v>20575</v>
      </c>
      <c r="BD86" s="10">
        <v>562.8</v>
      </c>
      <c r="BE86" s="11">
        <v>10737078</v>
      </c>
      <c r="BF86" s="23">
        <f t="shared" si="321"/>
        <v>3.49597585513078</v>
      </c>
      <c r="BG86" s="23">
        <f>BD86*100/AW86-100</f>
        <v>2.197203559106569</v>
      </c>
      <c r="BH86" s="23">
        <f t="shared" si="322"/>
        <v>6.425709060967705</v>
      </c>
      <c r="BI86" s="8"/>
      <c r="BJ86" s="20">
        <v>20528</v>
      </c>
      <c r="BK86" s="10">
        <v>478.2</v>
      </c>
      <c r="BL86" s="11">
        <v>9268811</v>
      </c>
      <c r="BM86" s="23">
        <f t="shared" si="353"/>
        <v>-0.22843256379100296</v>
      </c>
      <c r="BN86" s="23">
        <f>BK86*100/BD86-100</f>
        <v>-15.031982942430702</v>
      </c>
      <c r="BO86" s="23">
        <f t="shared" si="323"/>
        <v>-13.674735342334287</v>
      </c>
      <c r="BP86" s="8"/>
      <c r="BQ86" s="20">
        <v>23177</v>
      </c>
      <c r="BR86" s="10">
        <v>453.1</v>
      </c>
      <c r="BS86" s="11">
        <v>9500252</v>
      </c>
      <c r="BT86" s="23">
        <f t="shared" si="354"/>
        <v>12.9043257989088</v>
      </c>
      <c r="BU86" s="23">
        <f>BR86*100/BK86-100</f>
        <v>-5.2488498536177275</v>
      </c>
      <c r="BV86" s="23">
        <f t="shared" si="324"/>
        <v>2.4969869382383507</v>
      </c>
      <c r="BW86" s="8"/>
      <c r="BX86" s="20">
        <v>24529</v>
      </c>
      <c r="BY86" s="10">
        <v>550.5</v>
      </c>
      <c r="BZ86" s="11">
        <v>12347514</v>
      </c>
      <c r="CA86" s="23">
        <f t="shared" si="325"/>
        <v>5.833369288518796</v>
      </c>
      <c r="CB86" s="23">
        <f>BY86*100/BR86-100</f>
        <v>21.49635841977488</v>
      </c>
      <c r="CC86" s="23">
        <f t="shared" si="326"/>
        <v>29.9703839434996</v>
      </c>
      <c r="CD86" s="8"/>
      <c r="CE86" s="20">
        <v>23876</v>
      </c>
      <c r="CF86" s="10">
        <v>500.3</v>
      </c>
      <c r="CG86" s="11">
        <v>11312103</v>
      </c>
      <c r="CH86" s="23">
        <f t="shared" si="327"/>
        <v>-2.662155000203839</v>
      </c>
      <c r="CI86" s="23">
        <f>CF86*100/BY86-100</f>
        <v>-9.118982742960938</v>
      </c>
      <c r="CJ86" s="23">
        <f t="shared" si="328"/>
        <v>-8.38558271729839</v>
      </c>
      <c r="CK86" s="8"/>
      <c r="CL86" s="20">
        <v>25358</v>
      </c>
      <c r="CM86" s="10">
        <v>560.2</v>
      </c>
      <c r="CN86" s="11">
        <v>14130756</v>
      </c>
      <c r="CO86" s="23">
        <f t="shared" si="329"/>
        <v>6.207069860948238</v>
      </c>
      <c r="CP86" s="23">
        <f>CM86*100/CF86-100</f>
        <v>11.972816310213886</v>
      </c>
      <c r="CQ86" s="23">
        <f t="shared" si="330"/>
        <v>24.917144053585787</v>
      </c>
      <c r="CR86" s="8"/>
      <c r="CS86" s="20">
        <f>430+27925</f>
        <v>28355</v>
      </c>
      <c r="CT86" s="10">
        <v>552.4147769352847</v>
      </c>
      <c r="CU86" s="11">
        <f>249180+15240392</f>
        <v>15489572</v>
      </c>
      <c r="CV86" s="23">
        <f t="shared" si="331"/>
        <v>11.818755422351927</v>
      </c>
      <c r="CW86" s="23">
        <f>CT86*100/CM86-100</f>
        <v>-1.3897220751009058</v>
      </c>
      <c r="CX86" s="23">
        <f t="shared" si="332"/>
        <v>9.61601771341887</v>
      </c>
      <c r="CY86" s="8"/>
      <c r="CZ86" s="20">
        <f>420+29430</f>
        <v>29850</v>
      </c>
      <c r="DA86" s="10">
        <f>18141840/CZ86</f>
        <v>607.7668341708543</v>
      </c>
      <c r="DB86" s="11">
        <f>275140+17813935</f>
        <v>18089075</v>
      </c>
      <c r="DC86" s="23">
        <f t="shared" si="333"/>
        <v>5.272438723329216</v>
      </c>
      <c r="DD86" s="23">
        <f>DA86*100/CT86-100</f>
        <v>10.020017484444296</v>
      </c>
      <c r="DE86" s="23">
        <f t="shared" si="334"/>
        <v>16.782277780173658</v>
      </c>
      <c r="DF86" s="8"/>
      <c r="DG86" s="20">
        <f>29061+426</f>
        <v>29487</v>
      </c>
      <c r="DH86" s="10">
        <f>DI86/DG86</f>
        <v>600.1113711126937</v>
      </c>
      <c r="DI86" s="11">
        <f>17430684+264800</f>
        <v>17695484</v>
      </c>
      <c r="DJ86" s="23">
        <f t="shared" si="335"/>
        <v>-1.21608040201005</v>
      </c>
      <c r="DK86" s="23">
        <f>DH86*100/DA86-100</f>
        <v>-1.2596052676359903</v>
      </c>
      <c r="DL86" s="23">
        <f t="shared" si="336"/>
        <v>-2.1758492349664067</v>
      </c>
      <c r="DM86" s="8"/>
      <c r="DN86" s="20">
        <f>584+29780</f>
        <v>30364</v>
      </c>
      <c r="DO86" s="10">
        <v>519.6213278882888</v>
      </c>
      <c r="DP86" s="11">
        <f>14926192+365500</f>
        <v>15291692</v>
      </c>
      <c r="DQ86" s="23">
        <f t="shared" si="337"/>
        <v>2.974192016820979</v>
      </c>
      <c r="DR86" s="23">
        <f>DO86*100/DH86-100</f>
        <v>-13.412517592387005</v>
      </c>
      <c r="DS86" s="23">
        <f t="shared" si="338"/>
        <v>-13.584211655357947</v>
      </c>
      <c r="DT86" s="8"/>
      <c r="DU86" s="20">
        <f>526+31534</f>
        <v>32060</v>
      </c>
      <c r="DV86" s="10">
        <f>DW86/DU86</f>
        <v>539.0722083593263</v>
      </c>
      <c r="DW86" s="11">
        <f>315300+16967355</f>
        <v>17282655</v>
      </c>
      <c r="DX86" s="23">
        <f t="shared" si="339"/>
        <v>5.585561849558687</v>
      </c>
      <c r="DY86" s="23">
        <f>DV86*100/DO86-100</f>
        <v>3.743279851518949</v>
      </c>
      <c r="DZ86" s="23">
        <f t="shared" si="340"/>
        <v>13.019899956133045</v>
      </c>
      <c r="EA86" s="8"/>
      <c r="EB86" s="20">
        <f>529+33266</f>
        <v>33795</v>
      </c>
      <c r="EC86" s="10">
        <f>(382575+23096510)/33795</f>
        <v>694.7502589140405</v>
      </c>
      <c r="ED86" s="11">
        <f>382575+22796430</f>
        <v>23179005</v>
      </c>
      <c r="EE86" s="23">
        <f t="shared" si="341"/>
        <v>5.411728009981289</v>
      </c>
      <c r="EF86" s="23">
        <f>EC86*100/DV86-100</f>
        <v>28.878886379344692</v>
      </c>
      <c r="EG86" s="23">
        <f t="shared" si="342"/>
        <v>34.11715387479529</v>
      </c>
      <c r="EH86" s="8"/>
      <c r="EI86" s="20">
        <f>534+26639</f>
        <v>27173</v>
      </c>
      <c r="EJ86" s="10">
        <f>(16069230+359500)/29623</f>
        <v>554.5937278466057</v>
      </c>
      <c r="EK86" s="11">
        <f>359500+16031480</f>
        <v>16390980</v>
      </c>
      <c r="EL86" s="23">
        <f t="shared" si="343"/>
        <v>-19.594614587956798</v>
      </c>
      <c r="EM86" s="23">
        <f>EJ86*100/EC86-100</f>
        <v>-20.173656543361716</v>
      </c>
      <c r="EN86" s="23">
        <f t="shared" si="344"/>
        <v>-29.28523031942052</v>
      </c>
      <c r="EO86" s="8"/>
      <c r="EP86" s="20">
        <f>518+23496</f>
        <v>24014</v>
      </c>
      <c r="EQ86" s="10">
        <f>(348540+14935555)/EP86</f>
        <v>636.4660198217706</v>
      </c>
      <c r="ER86" s="11">
        <v>15025195</v>
      </c>
      <c r="ES86" s="23">
        <f t="shared" si="345"/>
        <v>-11.625510617156735</v>
      </c>
      <c r="ET86" s="23">
        <f>EQ86*100/EJ86-100</f>
        <v>14.762570844978953</v>
      </c>
      <c r="EU86" s="23">
        <f t="shared" si="346"/>
        <v>-8.33254021419097</v>
      </c>
      <c r="EV86" s="8"/>
      <c r="EW86" s="20">
        <f>540+22310</f>
        <v>22850</v>
      </c>
      <c r="EX86" s="10">
        <f>EY86/EW86</f>
        <v>661.1637636761488</v>
      </c>
      <c r="EY86" s="11">
        <f>253400+14854192</f>
        <v>15107592</v>
      </c>
      <c r="EZ86" s="11">
        <f>252620+14629363</f>
        <v>14881983</v>
      </c>
      <c r="FA86" s="23">
        <f t="shared" si="198"/>
        <v>-4.84717248271842</v>
      </c>
      <c r="FB86" s="23">
        <f>EX86*100/EQ86-100</f>
        <v>3.880449715335047</v>
      </c>
      <c r="FC86" s="23">
        <f t="shared" si="199"/>
        <v>-0.9531456996065657</v>
      </c>
      <c r="FD86" s="8"/>
      <c r="FE86" s="20">
        <f>23375+280</f>
        <v>23655</v>
      </c>
      <c r="FF86" s="10">
        <f>FG86/FE86</f>
        <v>627.9097019657578</v>
      </c>
      <c r="FG86" s="11">
        <f>157344+14695860</f>
        <v>14853204</v>
      </c>
      <c r="FH86" s="11">
        <f>156567+14694404</f>
        <v>14850971</v>
      </c>
      <c r="FI86" s="23">
        <f>FE86*100/EW86-100</f>
        <v>3.5229759299781165</v>
      </c>
      <c r="FJ86" s="23">
        <f aca="true" t="shared" si="373" ref="FJ86:FK104">FF86*100/EX86-100</f>
        <v>-5.029625568935373</v>
      </c>
      <c r="FK86" s="23">
        <f t="shared" si="373"/>
        <v>-1.683842137118873</v>
      </c>
      <c r="FL86" s="23">
        <f>FH86*100/EZ86-100</f>
        <v>-0.20838620767138138</v>
      </c>
      <c r="FM86" s="23"/>
      <c r="FN86" s="20">
        <f>348+26861</f>
        <v>27209</v>
      </c>
      <c r="FO86" s="10">
        <f t="shared" si="220"/>
        <v>733.6495277297953</v>
      </c>
      <c r="FP86" s="11">
        <f>198830+19763040</f>
        <v>19961870</v>
      </c>
      <c r="FQ86" s="11">
        <f>198830+19763040</f>
        <v>19961870</v>
      </c>
      <c r="FR86" s="23">
        <f>FN86*100/FE86-100</f>
        <v>15.02430775734517</v>
      </c>
      <c r="FS86" s="23">
        <f>FO86*100/FF86-100</f>
        <v>16.839973237076023</v>
      </c>
      <c r="FT86" s="23">
        <f t="shared" si="368"/>
        <v>34.39437039981408</v>
      </c>
      <c r="FU86" s="23">
        <f t="shared" si="368"/>
        <v>34.41457800974766</v>
      </c>
      <c r="FV86" s="23"/>
      <c r="FW86" s="20">
        <f>355+25892</f>
        <v>26247</v>
      </c>
      <c r="FX86" s="10">
        <f>FY86/FW86</f>
        <v>516.9373261706099</v>
      </c>
      <c r="FY86" s="20">
        <f>198450+13369604</f>
        <v>13568054</v>
      </c>
      <c r="FZ86" s="20">
        <f>197358+16368318</f>
        <v>16565676</v>
      </c>
      <c r="GA86" s="23">
        <f aca="true" t="shared" si="374" ref="GA86:GD87">FW86*100/FN86-100</f>
        <v>-3.535594839942661</v>
      </c>
      <c r="GB86" s="23">
        <f t="shared" si="374"/>
        <v>-29.53892742625753</v>
      </c>
      <c r="GC86" s="23">
        <f t="shared" si="374"/>
        <v>-32.03014547234302</v>
      </c>
      <c r="GD86" s="23">
        <f t="shared" si="374"/>
        <v>-17.013406058650816</v>
      </c>
      <c r="GE86" s="23"/>
      <c r="GF86" s="20">
        <f>338+25054</f>
        <v>25392</v>
      </c>
      <c r="GG86" s="10">
        <f>GH86/GF86</f>
        <v>700.4297416509137</v>
      </c>
      <c r="GH86" s="20">
        <f>186910+17598402</f>
        <v>17785312</v>
      </c>
      <c r="GI86" s="20">
        <f>186910+17598402</f>
        <v>17785312</v>
      </c>
      <c r="GJ86" s="23">
        <f t="shared" si="300"/>
        <v>-3.2575151445879555</v>
      </c>
      <c r="GK86" s="23">
        <f t="shared" si="300"/>
        <v>35.49606619424961</v>
      </c>
      <c r="GL86" s="23">
        <f t="shared" si="363"/>
        <v>31.082261317651017</v>
      </c>
      <c r="GM86" s="23">
        <f t="shared" si="363"/>
        <v>7.362428191883026</v>
      </c>
      <c r="GN86" s="23"/>
      <c r="GO86" s="20">
        <f>259+22510</f>
        <v>22769</v>
      </c>
      <c r="GP86" s="10">
        <f>GQ86/GO86</f>
        <v>690.1543765646273</v>
      </c>
      <c r="GQ86" s="20">
        <f>163150+15550975</f>
        <v>15714125</v>
      </c>
      <c r="GR86" s="20">
        <f>163150+15550975</f>
        <v>15714125</v>
      </c>
      <c r="GS86" s="23">
        <f t="shared" si="301"/>
        <v>-10.33002520478891</v>
      </c>
      <c r="GT86" s="23">
        <f t="shared" si="301"/>
        <v>-1.4670086769969686</v>
      </c>
      <c r="GU86" s="23">
        <f t="shared" si="364"/>
        <v>-11.645491515695653</v>
      </c>
      <c r="GV86" s="23">
        <f t="shared" si="365"/>
        <v>-11.645491515695653</v>
      </c>
      <c r="GW86" s="23"/>
      <c r="GX86" s="20">
        <f>388+20098</f>
        <v>20486</v>
      </c>
      <c r="GY86" s="10">
        <f>GZ86/GX86</f>
        <v>691.0563311529826</v>
      </c>
      <c r="GZ86" s="20">
        <f>254810+13902170</f>
        <v>14156980</v>
      </c>
      <c r="HA86" s="20">
        <f>254810+13902170</f>
        <v>14156980</v>
      </c>
      <c r="HB86" s="23">
        <f t="shared" si="302"/>
        <v>-10.026790812069038</v>
      </c>
      <c r="HC86" s="23">
        <f>GY86*100/GP86-100</f>
        <v>0.1306888167318334</v>
      </c>
      <c r="HD86" s="23">
        <f t="shared" si="366"/>
        <v>-9.909205889605687</v>
      </c>
      <c r="HE86" s="23">
        <f t="shared" si="367"/>
        <v>-9.909205889605687</v>
      </c>
      <c r="HF86" s="23"/>
      <c r="HG86" s="20">
        <f>227+24681</f>
        <v>24908</v>
      </c>
      <c r="HH86" s="10">
        <f>HI86/HG86</f>
        <v>664.2319736630801</v>
      </c>
      <c r="HI86" s="20">
        <f>136140+16408550</f>
        <v>16544690</v>
      </c>
      <c r="HJ86" s="20">
        <f>136140+16408550</f>
        <v>16544690</v>
      </c>
      <c r="HK86" s="23">
        <f t="shared" si="304"/>
        <v>21.585473005955294</v>
      </c>
      <c r="HL86" s="23">
        <f>HH86*100/GY86-100</f>
        <v>-3.881645573689738</v>
      </c>
      <c r="HM86" s="23">
        <f t="shared" si="105"/>
        <v>16.865955874769895</v>
      </c>
      <c r="HN86" s="23">
        <f t="shared" si="106"/>
        <v>16.865955874769895</v>
      </c>
      <c r="HO86" s="23"/>
      <c r="HP86" s="20">
        <f>294+26311</f>
        <v>26605</v>
      </c>
      <c r="HQ86" s="10">
        <f>HR86/HP86</f>
        <v>684.6315730125916</v>
      </c>
      <c r="HR86" s="20">
        <f>184250+18030373</f>
        <v>18214623</v>
      </c>
      <c r="HS86" s="20">
        <f>184250+18030373</f>
        <v>18214623</v>
      </c>
      <c r="HT86" s="23">
        <f t="shared" si="306"/>
        <v>6.813072105347686</v>
      </c>
      <c r="HU86" s="23">
        <f>HQ86*100/HH86-100</f>
        <v>3.0711558850461103</v>
      </c>
      <c r="HV86" s="23">
        <f t="shared" si="370"/>
        <v>10.093468055309586</v>
      </c>
      <c r="HW86" s="23">
        <f t="shared" si="371"/>
        <v>10.093468055309586</v>
      </c>
      <c r="HX86" s="23"/>
      <c r="HY86" s="20"/>
      <c r="HZ86" s="10" t="e">
        <f>IA86/HY86</f>
        <v>#DIV/0!</v>
      </c>
      <c r="IA86" s="20"/>
      <c r="IB86" s="20"/>
      <c r="IC86" s="23">
        <f t="shared" si="308"/>
        <v>-100</v>
      </c>
      <c r="ID86" s="23" t="e">
        <f>HZ86*100/HQ86-100</f>
        <v>#DIV/0!</v>
      </c>
      <c r="IE86" s="23">
        <f t="shared" si="309"/>
        <v>-100</v>
      </c>
      <c r="IF86" s="23">
        <f t="shared" si="310"/>
        <v>-100</v>
      </c>
      <c r="IG86" s="23"/>
      <c r="IH86" s="1" t="s">
        <v>82</v>
      </c>
      <c r="II86" s="29">
        <f t="shared" si="357"/>
        <v>24470.3</v>
      </c>
      <c r="IJ86" s="30">
        <f t="shared" si="358"/>
        <v>647.6592490242291</v>
      </c>
      <c r="IK86" s="29">
        <f t="shared" si="359"/>
        <v>16187778.2</v>
      </c>
      <c r="IL86" s="25">
        <f t="shared" si="360"/>
        <v>8.723636408217317</v>
      </c>
      <c r="IM86" s="25">
        <f t="shared" si="361"/>
        <v>5.708607426523358</v>
      </c>
      <c r="IN86" s="25">
        <f t="shared" si="362"/>
        <v>12.520833773222819</v>
      </c>
      <c r="IP86" s="30">
        <f>HP86*100/Italia!BR86</f>
        <v>26.67408588243551</v>
      </c>
      <c r="IQ86" s="30">
        <f>HR86*100/Italia!BT86</f>
        <v>29.836838340287215</v>
      </c>
      <c r="IR86" s="30">
        <f>HS86*100/Italia!BU86</f>
        <v>30.903880613505372</v>
      </c>
    </row>
    <row r="87" spans="1:252" ht="12">
      <c r="A87" s="1" t="s">
        <v>83</v>
      </c>
      <c r="B87" s="22">
        <v>211.78</v>
      </c>
      <c r="C87" s="10">
        <v>1021.4</v>
      </c>
      <c r="D87" s="11">
        <v>208866</v>
      </c>
      <c r="E87" s="9"/>
      <c r="F87" s="22">
        <v>249.68</v>
      </c>
      <c r="G87" s="10">
        <v>1038.9</v>
      </c>
      <c r="H87" s="11">
        <v>256168</v>
      </c>
      <c r="I87" s="23">
        <f t="shared" si="349"/>
        <v>17.895929738407787</v>
      </c>
      <c r="J87" s="23">
        <f>G87*100/C87-100</f>
        <v>1.713334638731169</v>
      </c>
      <c r="K87" s="23">
        <f t="shared" si="350"/>
        <v>22.64705600720079</v>
      </c>
      <c r="L87" s="8"/>
      <c r="M87" s="22">
        <v>266.6</v>
      </c>
      <c r="N87" s="10">
        <f>308740/M87</f>
        <v>1158.0645161290322</v>
      </c>
      <c r="O87" s="11">
        <v>304890</v>
      </c>
      <c r="P87" s="23">
        <f t="shared" si="351"/>
        <v>6.776674142902934</v>
      </c>
      <c r="Q87" s="23">
        <f>N87*100/G87-100</f>
        <v>11.470258555109439</v>
      </c>
      <c r="R87" s="23">
        <f t="shared" si="352"/>
        <v>19.01954967052872</v>
      </c>
      <c r="S87" s="8"/>
      <c r="T87" s="22">
        <v>226.55</v>
      </c>
      <c r="U87" s="10">
        <f>246165/T87</f>
        <v>1086.5813286250275</v>
      </c>
      <c r="V87" s="11">
        <v>244060</v>
      </c>
      <c r="W87" s="23">
        <f t="shared" si="311"/>
        <v>-15.022505626406613</v>
      </c>
      <c r="X87" s="23">
        <f>U87*100/N87-100</f>
        <v>-6.172642932100686</v>
      </c>
      <c r="Y87" s="23">
        <f t="shared" si="312"/>
        <v>-19.95145790285021</v>
      </c>
      <c r="Z87" s="8"/>
      <c r="AA87" s="22">
        <v>58.3</v>
      </c>
      <c r="AB87" s="10">
        <f>59425/AA87</f>
        <v>1019.2967409948543</v>
      </c>
      <c r="AC87" s="11">
        <v>59225</v>
      </c>
      <c r="AD87" s="23">
        <f t="shared" si="313"/>
        <v>-74.2661664091812</v>
      </c>
      <c r="AE87" s="23">
        <f>AB87*100/U87-100</f>
        <v>-6.192319512365984</v>
      </c>
      <c r="AF87" s="23">
        <f t="shared" si="314"/>
        <v>-75.73342620667049</v>
      </c>
      <c r="AG87" s="8"/>
      <c r="AH87" s="22">
        <v>78.75</v>
      </c>
      <c r="AI87" s="10">
        <f>70835/AH87</f>
        <v>899.4920634920635</v>
      </c>
      <c r="AJ87" s="11">
        <v>69985</v>
      </c>
      <c r="AK87" s="23">
        <f t="shared" si="315"/>
        <v>35.077186963979415</v>
      </c>
      <c r="AL87" s="23">
        <f>AI87*100/AB87-100</f>
        <v>-11.753660409613303</v>
      </c>
      <c r="AM87" s="23">
        <f t="shared" si="316"/>
        <v>18.1680033769523</v>
      </c>
      <c r="AN87" s="8"/>
      <c r="AO87" s="22">
        <v>79.25</v>
      </c>
      <c r="AP87" s="10">
        <f>66937/AO87</f>
        <v>844.6309148264984</v>
      </c>
      <c r="AQ87" s="11">
        <v>66907</v>
      </c>
      <c r="AR87" s="23">
        <f t="shared" si="317"/>
        <v>0.6349206349206327</v>
      </c>
      <c r="AS87" s="23">
        <f>AP87*100/AI87-100</f>
        <v>-6.099125372221721</v>
      </c>
      <c r="AT87" s="23">
        <f t="shared" si="318"/>
        <v>-4.39808530399371</v>
      </c>
      <c r="AU87" s="8"/>
      <c r="AV87" s="22">
        <v>77.75</v>
      </c>
      <c r="AW87" s="10">
        <f>63472/AV87</f>
        <v>816.3601286173633</v>
      </c>
      <c r="AX87" s="11">
        <v>62957</v>
      </c>
      <c r="AY87" s="23">
        <f t="shared" si="319"/>
        <v>-1.8927444794952635</v>
      </c>
      <c r="AZ87" s="23">
        <f>AW87*100/AP87-100</f>
        <v>-3.3471171505653814</v>
      </c>
      <c r="BA87" s="23">
        <f t="shared" si="320"/>
        <v>-5.9037170998550295</v>
      </c>
      <c r="BB87" s="8"/>
      <c r="BC87" s="22">
        <v>95.25</v>
      </c>
      <c r="BD87" s="10">
        <f>80162/BC87</f>
        <v>841.5958005249344</v>
      </c>
      <c r="BE87" s="11">
        <v>79217</v>
      </c>
      <c r="BF87" s="23">
        <f t="shared" si="321"/>
        <v>22.508038585209007</v>
      </c>
      <c r="BG87" s="23">
        <f>BD87*100/AW87-100</f>
        <v>3.0912425806869805</v>
      </c>
      <c r="BH87" s="23">
        <f t="shared" si="322"/>
        <v>25.82715186555903</v>
      </c>
      <c r="BI87" s="8"/>
      <c r="BJ87" s="22">
        <v>100.5</v>
      </c>
      <c r="BK87" s="10">
        <f>84800/BJ87</f>
        <v>843.7810945273632</v>
      </c>
      <c r="BL87" s="11">
        <v>83143</v>
      </c>
      <c r="BM87" s="23">
        <f t="shared" si="353"/>
        <v>5.511811023622045</v>
      </c>
      <c r="BN87" s="23">
        <f>BK87*100/BD87-100</f>
        <v>0.2596607541370588</v>
      </c>
      <c r="BO87" s="23">
        <f t="shared" si="323"/>
        <v>4.956006917707057</v>
      </c>
      <c r="BP87" s="8"/>
      <c r="BQ87" s="22">
        <v>78.1</v>
      </c>
      <c r="BR87" s="10">
        <f>61030/BQ87</f>
        <v>781.4340588988476</v>
      </c>
      <c r="BS87" s="11">
        <v>59905</v>
      </c>
      <c r="BT87" s="23">
        <f t="shared" si="354"/>
        <v>-22.28855721393036</v>
      </c>
      <c r="BU87" s="23">
        <f>BR87*100/BK87-100</f>
        <v>-7.389005991351198</v>
      </c>
      <c r="BV87" s="23">
        <f t="shared" si="324"/>
        <v>-27.94943651299569</v>
      </c>
      <c r="BW87" s="8"/>
      <c r="BX87" s="22">
        <v>70.47</v>
      </c>
      <c r="BY87" s="10">
        <v>772.7</v>
      </c>
      <c r="BZ87" s="11">
        <v>54466</v>
      </c>
      <c r="CA87" s="23">
        <f t="shared" si="325"/>
        <v>-9.769526248399487</v>
      </c>
      <c r="CB87" s="23">
        <f>BY87*100/BR87-100</f>
        <v>-1.1176962149762488</v>
      </c>
      <c r="CC87" s="23">
        <f t="shared" si="326"/>
        <v>-9.079375678157078</v>
      </c>
      <c r="CD87" s="8"/>
      <c r="CE87" s="22">
        <v>73.6</v>
      </c>
      <c r="CF87" s="10">
        <f>54340/CE87</f>
        <v>738.3152173913044</v>
      </c>
      <c r="CG87" s="11">
        <v>54340</v>
      </c>
      <c r="CH87" s="23">
        <f t="shared" si="327"/>
        <v>4.441606357315152</v>
      </c>
      <c r="CI87" s="23">
        <f>CF87*100/BY87-100</f>
        <v>-4.449952453564862</v>
      </c>
      <c r="CJ87" s="23">
        <f t="shared" si="328"/>
        <v>-0.23133698086880372</v>
      </c>
      <c r="CK87" s="8"/>
      <c r="CL87" s="22">
        <v>79.1</v>
      </c>
      <c r="CM87" s="10">
        <v>740</v>
      </c>
      <c r="CN87" s="11">
        <v>58440</v>
      </c>
      <c r="CO87" s="23">
        <f t="shared" si="329"/>
        <v>7.472826086956516</v>
      </c>
      <c r="CP87" s="23">
        <f>CM87*100/CF87-100</f>
        <v>0.22819285977180925</v>
      </c>
      <c r="CQ87" s="23">
        <f t="shared" si="330"/>
        <v>7.545086492454914</v>
      </c>
      <c r="CR87" s="8"/>
      <c r="CS87" s="22">
        <v>71.5</v>
      </c>
      <c r="CT87" s="10">
        <f>55550/CS87</f>
        <v>776.9230769230769</v>
      </c>
      <c r="CU87" s="11">
        <v>55550</v>
      </c>
      <c r="CV87" s="23">
        <f t="shared" si="331"/>
        <v>-9.608091024020226</v>
      </c>
      <c r="CW87" s="23">
        <f>CT87*100/CM87-100</f>
        <v>4.9896049896049846</v>
      </c>
      <c r="CX87" s="23">
        <f t="shared" si="332"/>
        <v>-4.945242984257362</v>
      </c>
      <c r="CY87" s="8"/>
      <c r="CZ87" s="22">
        <v>77.5</v>
      </c>
      <c r="DA87" s="10">
        <f>DB87/CZ87</f>
        <v>782.1935483870968</v>
      </c>
      <c r="DB87" s="11">
        <v>60620</v>
      </c>
      <c r="DC87" s="23">
        <f t="shared" si="333"/>
        <v>8.391608391608386</v>
      </c>
      <c r="DD87" s="23">
        <f>DA87*100/CT87-100</f>
        <v>0.6783775151708795</v>
      </c>
      <c r="DE87" s="23">
        <f t="shared" si="334"/>
        <v>9.126912691269126</v>
      </c>
      <c r="DF87" s="8"/>
      <c r="DG87" s="22">
        <v>73.8</v>
      </c>
      <c r="DH87" s="10">
        <f>57436/DG87</f>
        <v>778.2655826558266</v>
      </c>
      <c r="DI87" s="11">
        <v>57436</v>
      </c>
      <c r="DJ87" s="23">
        <f t="shared" si="335"/>
        <v>-4.774193548387103</v>
      </c>
      <c r="DK87" s="23">
        <f>DH87*100/DA87-100</f>
        <v>-0.5021731180690239</v>
      </c>
      <c r="DL87" s="23">
        <f t="shared" si="336"/>
        <v>-5.252391949851528</v>
      </c>
      <c r="DM87" s="8"/>
      <c r="DN87" s="22">
        <v>96</v>
      </c>
      <c r="DO87" s="10">
        <f>71900/DN87</f>
        <v>748.9583333333334</v>
      </c>
      <c r="DP87" s="11">
        <v>71380</v>
      </c>
      <c r="DQ87" s="23">
        <f t="shared" si="337"/>
        <v>30.08130081300814</v>
      </c>
      <c r="DR87" s="23">
        <f>DO87*100/DH87-100</f>
        <v>-3.7657131415836744</v>
      </c>
      <c r="DS87" s="23">
        <f t="shared" si="338"/>
        <v>24.27745664739885</v>
      </c>
      <c r="DT87" s="8"/>
      <c r="DU87" s="22">
        <v>75.5</v>
      </c>
      <c r="DV87" s="10">
        <f>65880/DU87</f>
        <v>872.5827814569536</v>
      </c>
      <c r="DW87" s="11">
        <v>65120</v>
      </c>
      <c r="DX87" s="23">
        <f t="shared" si="339"/>
        <v>-21.35416666666667</v>
      </c>
      <c r="DY87" s="23">
        <f>DV87*100/DO87-100</f>
        <v>16.506185006769883</v>
      </c>
      <c r="DZ87" s="23">
        <f t="shared" si="340"/>
        <v>-8.76996357523116</v>
      </c>
      <c r="EA87" s="8"/>
      <c r="EB87" s="22">
        <v>99.3</v>
      </c>
      <c r="EC87" s="10">
        <f>82940/EB87</f>
        <v>835.2467270896274</v>
      </c>
      <c r="ED87" s="11">
        <v>82180</v>
      </c>
      <c r="EE87" s="23">
        <f t="shared" si="341"/>
        <v>31.523178807947033</v>
      </c>
      <c r="EF87" s="23">
        <f>EC87*100/DV87-100</f>
        <v>-4.278797973183259</v>
      </c>
      <c r="EG87" s="23">
        <f t="shared" si="342"/>
        <v>26.197788697788695</v>
      </c>
      <c r="EH87" s="8"/>
      <c r="EI87" s="22">
        <v>77.7</v>
      </c>
      <c r="EJ87" s="10">
        <f>64160/EI87</f>
        <v>825.7400257400257</v>
      </c>
      <c r="EK87" s="11">
        <v>63400</v>
      </c>
      <c r="EL87" s="23">
        <f t="shared" si="343"/>
        <v>-21.752265861027183</v>
      </c>
      <c r="EM87" s="23">
        <f>EJ87*100/EC87-100</f>
        <v>-1.138190793363222</v>
      </c>
      <c r="EN87" s="23">
        <f t="shared" si="344"/>
        <v>-22.852275492820638</v>
      </c>
      <c r="EO87" s="8"/>
      <c r="EP87" s="22">
        <v>82.2</v>
      </c>
      <c r="EQ87" s="10">
        <f>60660/EP87</f>
        <v>737.956204379562</v>
      </c>
      <c r="ER87" s="11">
        <v>60400</v>
      </c>
      <c r="ES87" s="23">
        <f t="shared" si="345"/>
        <v>5.791505791505784</v>
      </c>
      <c r="ET87" s="23">
        <f>EQ87*100/EJ87-100</f>
        <v>-10.630927243933968</v>
      </c>
      <c r="EU87" s="23">
        <f t="shared" si="346"/>
        <v>-4.731861198738173</v>
      </c>
      <c r="EV87" s="8"/>
      <c r="EW87" s="22">
        <v>86.7</v>
      </c>
      <c r="EX87" s="10">
        <f>EY87/EW87</f>
        <v>735.1787773933103</v>
      </c>
      <c r="EY87" s="11">
        <v>63740</v>
      </c>
      <c r="EZ87" s="11">
        <v>63480</v>
      </c>
      <c r="FA87" s="23">
        <f t="shared" si="198"/>
        <v>5.474452554744516</v>
      </c>
      <c r="FB87" s="23">
        <f>EX87*100/EQ87-100</f>
        <v>-0.3763674551102696</v>
      </c>
      <c r="FC87" s="23">
        <f t="shared" si="199"/>
        <v>5.099337748344368</v>
      </c>
      <c r="FD87" s="8"/>
      <c r="FE87" s="22">
        <v>106.55</v>
      </c>
      <c r="FF87" s="10">
        <f>FG87/FE87</f>
        <v>694.0403566400751</v>
      </c>
      <c r="FG87" s="11">
        <v>73950</v>
      </c>
      <c r="FH87" s="11">
        <v>73690</v>
      </c>
      <c r="FI87" s="23">
        <f>FE87*100/EW87-100</f>
        <v>22.895040369088804</v>
      </c>
      <c r="FJ87" s="23">
        <f t="shared" si="373"/>
        <v>-5.595702979770152</v>
      </c>
      <c r="FK87" s="23">
        <f t="shared" si="373"/>
        <v>16.01819893316599</v>
      </c>
      <c r="FL87" s="23">
        <f>FH87*100/EZ87-100</f>
        <v>16.083805923125396</v>
      </c>
      <c r="FM87" s="23"/>
      <c r="FN87" s="22">
        <v>117.65</v>
      </c>
      <c r="FO87" s="10">
        <f t="shared" si="220"/>
        <v>709.2647683807904</v>
      </c>
      <c r="FP87" s="11">
        <v>83445</v>
      </c>
      <c r="FQ87" s="11">
        <v>82995</v>
      </c>
      <c r="FR87" s="23">
        <f>FN87*100/FE87-100</f>
        <v>10.417644298451435</v>
      </c>
      <c r="FS87" s="23">
        <f>FO87*100/FF87-100</f>
        <v>2.1935917119313473</v>
      </c>
      <c r="FT87" s="23">
        <f t="shared" si="368"/>
        <v>12.83975659229209</v>
      </c>
      <c r="FU87" s="23">
        <f t="shared" si="368"/>
        <v>12.627222146831315</v>
      </c>
      <c r="FV87" s="23"/>
      <c r="FW87" s="22">
        <v>118.93</v>
      </c>
      <c r="FX87" s="10">
        <f>FY87/FW87</f>
        <v>831.3713949381989</v>
      </c>
      <c r="FY87" s="20">
        <v>98875</v>
      </c>
      <c r="FZ87" s="20">
        <v>98500</v>
      </c>
      <c r="GA87" s="23">
        <f t="shared" si="374"/>
        <v>1.087972800679978</v>
      </c>
      <c r="GB87" s="23">
        <f t="shared" si="374"/>
        <v>17.21594417218421</v>
      </c>
      <c r="GC87" s="23">
        <f t="shared" si="374"/>
        <v>18.491221762837796</v>
      </c>
      <c r="GD87" s="23">
        <f t="shared" si="374"/>
        <v>18.68184830411471</v>
      </c>
      <c r="GE87" s="23"/>
      <c r="GF87" s="22">
        <v>132.18</v>
      </c>
      <c r="GG87" s="10">
        <f>GH87/GF87</f>
        <v>881.6765017400514</v>
      </c>
      <c r="GH87" s="20">
        <v>116540</v>
      </c>
      <c r="GI87" s="20">
        <v>115465</v>
      </c>
      <c r="GJ87" s="23">
        <f t="shared" si="300"/>
        <v>11.14100731522744</v>
      </c>
      <c r="GK87" s="23">
        <f t="shared" si="300"/>
        <v>6.050858510183886</v>
      </c>
      <c r="GL87" s="23">
        <f t="shared" si="363"/>
        <v>17.865992414664987</v>
      </c>
      <c r="GM87" s="23">
        <f t="shared" si="363"/>
        <v>17.223350253807112</v>
      </c>
      <c r="GN87" s="23"/>
      <c r="GO87" s="22">
        <v>101.56</v>
      </c>
      <c r="GP87" s="10">
        <f>GQ87/GO87</f>
        <v>899.8818432453721</v>
      </c>
      <c r="GQ87" s="20">
        <v>91392</v>
      </c>
      <c r="GR87" s="20">
        <v>90987</v>
      </c>
      <c r="GS87" s="23">
        <f t="shared" si="301"/>
        <v>-23.16538054168558</v>
      </c>
      <c r="GT87" s="23">
        <f t="shared" si="301"/>
        <v>2.064855019884405</v>
      </c>
      <c r="GU87" s="23">
        <f t="shared" si="364"/>
        <v>-21.57885704479149</v>
      </c>
      <c r="GV87" s="23">
        <f t="shared" si="365"/>
        <v>-21.199497683280654</v>
      </c>
      <c r="GW87" s="23"/>
      <c r="GX87" s="22">
        <v>92.48</v>
      </c>
      <c r="GY87" s="42">
        <f>GZ87/GX87</f>
        <v>1055.4714532871972</v>
      </c>
      <c r="GZ87" s="20">
        <v>97610</v>
      </c>
      <c r="HA87" s="20">
        <v>97235</v>
      </c>
      <c r="HB87" s="23">
        <f t="shared" si="302"/>
        <v>-8.940527766837334</v>
      </c>
      <c r="HC87" s="23">
        <f>GY87*100/GP87-100</f>
        <v>17.290004372207363</v>
      </c>
      <c r="HD87" s="23">
        <f t="shared" si="366"/>
        <v>6.803658963585434</v>
      </c>
      <c r="HE87" s="23">
        <f t="shared" si="367"/>
        <v>6.866915053798891</v>
      </c>
      <c r="HF87" s="23"/>
      <c r="HG87" s="22">
        <v>108.03</v>
      </c>
      <c r="HH87" s="10">
        <f>HI87/HG87</f>
        <v>1088.2162362306767</v>
      </c>
      <c r="HI87" s="20">
        <v>117560</v>
      </c>
      <c r="HJ87" s="20">
        <v>117223</v>
      </c>
      <c r="HK87" s="23">
        <f t="shared" si="304"/>
        <v>16.814446366782008</v>
      </c>
      <c r="HL87" s="23">
        <f>HH87*100/GY87-100</f>
        <v>3.102384516558743</v>
      </c>
      <c r="HM87" s="23">
        <f aca="true" t="shared" si="375" ref="HM87:HM113">HI87*100/GZ87-100</f>
        <v>20.43847966396885</v>
      </c>
      <c r="HN87" s="23">
        <f aca="true" t="shared" si="376" ref="HN87:HN113">HJ87*100/HA87-100</f>
        <v>20.556384018100474</v>
      </c>
      <c r="HO87" s="23"/>
      <c r="HP87" s="22">
        <v>116.1</v>
      </c>
      <c r="HQ87" s="10">
        <f>HR87/HP87</f>
        <v>1177.9931093884584</v>
      </c>
      <c r="HR87" s="20">
        <v>136765</v>
      </c>
      <c r="HS87" s="20">
        <v>136428</v>
      </c>
      <c r="HT87" s="23">
        <f t="shared" si="306"/>
        <v>7.470147181338518</v>
      </c>
      <c r="HU87" s="23">
        <f>HQ87*100/HH87-100</f>
        <v>8.249911200438206</v>
      </c>
      <c r="HV87" s="23">
        <f t="shared" si="370"/>
        <v>16.336338890779174</v>
      </c>
      <c r="HW87" s="23">
        <f t="shared" si="371"/>
        <v>16.38330361789069</v>
      </c>
      <c r="HX87" s="23"/>
      <c r="HY87" s="22"/>
      <c r="HZ87" s="10" t="e">
        <f>IA87/HY87</f>
        <v>#DIV/0!</v>
      </c>
      <c r="IA87" s="20"/>
      <c r="IB87" s="20"/>
      <c r="IC87" s="23">
        <f t="shared" si="308"/>
        <v>-100</v>
      </c>
      <c r="ID87" s="23" t="e">
        <f>HZ87*100/HQ87-100</f>
        <v>#DIV/0!</v>
      </c>
      <c r="IE87" s="23">
        <f t="shared" si="309"/>
        <v>-100</v>
      </c>
      <c r="IF87" s="23">
        <f t="shared" si="310"/>
        <v>-100</v>
      </c>
      <c r="IG87" s="23"/>
      <c r="IH87" s="1" t="s">
        <v>83</v>
      </c>
      <c r="II87" s="29">
        <f t="shared" si="357"/>
        <v>102.398</v>
      </c>
      <c r="IJ87" s="30">
        <f t="shared" si="358"/>
        <v>845.8797561975259</v>
      </c>
      <c r="IK87" s="29">
        <f t="shared" si="359"/>
        <v>86337.5</v>
      </c>
      <c r="IL87" s="25">
        <f t="shared" si="360"/>
        <v>13.38112072501417</v>
      </c>
      <c r="IM87" s="25">
        <f t="shared" si="361"/>
        <v>39.26247800087782</v>
      </c>
      <c r="IN87" s="25">
        <f t="shared" si="362"/>
        <v>58.01708411756189</v>
      </c>
      <c r="IP87" s="30">
        <f>HP87*100/Italia!BR87</f>
        <v>1.5612099175154037</v>
      </c>
      <c r="IQ87" s="30">
        <f>HR87*100/Italia!BT87</f>
        <v>2.554578872260783</v>
      </c>
      <c r="IR87" s="30">
        <f>HS87*100/Italia!BU87</f>
        <v>2.64247298654959</v>
      </c>
    </row>
    <row r="88" spans="1:252" ht="12">
      <c r="A88" s="1" t="s">
        <v>84</v>
      </c>
      <c r="B88" s="19">
        <f>B87+B86</f>
        <v>14611.78</v>
      </c>
      <c r="C88" s="6" t="s">
        <v>1</v>
      </c>
      <c r="D88" s="9">
        <f>D87+D86</f>
        <v>8459166</v>
      </c>
      <c r="E88" s="9"/>
      <c r="F88" s="19">
        <f>F86+F87</f>
        <v>12329.68</v>
      </c>
      <c r="G88" s="6" t="s">
        <v>1</v>
      </c>
      <c r="H88" s="9">
        <f>H87+H86</f>
        <v>7181168</v>
      </c>
      <c r="I88" s="23">
        <f t="shared" si="349"/>
        <v>-15.618220367402202</v>
      </c>
      <c r="J88" s="24" t="s">
        <v>1</v>
      </c>
      <c r="K88" s="23">
        <f t="shared" si="350"/>
        <v>-15.107848693358193</v>
      </c>
      <c r="L88" s="8"/>
      <c r="M88" s="19">
        <f>M86+M87</f>
        <v>12186.6</v>
      </c>
      <c r="N88" s="6" t="s">
        <v>1</v>
      </c>
      <c r="O88" s="9">
        <f>O87+O86</f>
        <v>7495790</v>
      </c>
      <c r="P88" s="23">
        <f t="shared" si="351"/>
        <v>-1.1604518527650356</v>
      </c>
      <c r="Q88" s="24" t="s">
        <v>1</v>
      </c>
      <c r="R88" s="23">
        <f t="shared" si="352"/>
        <v>4.381209296315035</v>
      </c>
      <c r="S88" s="8"/>
      <c r="T88" s="19">
        <f>T86+T87</f>
        <v>13045.55</v>
      </c>
      <c r="U88" s="6" t="s">
        <v>1</v>
      </c>
      <c r="V88" s="9">
        <f>V87+V86</f>
        <v>6450560</v>
      </c>
      <c r="W88" s="23">
        <f t="shared" si="311"/>
        <v>7.048315362775497</v>
      </c>
      <c r="X88" s="24" t="s">
        <v>1</v>
      </c>
      <c r="Y88" s="23">
        <f t="shared" si="312"/>
        <v>-13.944227359624534</v>
      </c>
      <c r="Z88" s="8"/>
      <c r="AA88" s="19">
        <f>AA86+AA87</f>
        <v>17581.3</v>
      </c>
      <c r="AB88" s="6" t="s">
        <v>1</v>
      </c>
      <c r="AC88" s="9">
        <f>AC87+AC86</f>
        <v>9266625</v>
      </c>
      <c r="AD88" s="23">
        <f t="shared" si="313"/>
        <v>34.768560926906105</v>
      </c>
      <c r="AE88" s="24" t="s">
        <v>1</v>
      </c>
      <c r="AF88" s="23">
        <f t="shared" si="314"/>
        <v>43.65613218077189</v>
      </c>
      <c r="AG88" s="8"/>
      <c r="AH88" s="19">
        <f>AH86+AH87</f>
        <v>19490.75</v>
      </c>
      <c r="AI88" s="6" t="s">
        <v>1</v>
      </c>
      <c r="AJ88" s="9">
        <f>AJ87+AJ86</f>
        <v>9897685</v>
      </c>
      <c r="AK88" s="23">
        <f t="shared" si="315"/>
        <v>10.86068720743063</v>
      </c>
      <c r="AL88" s="24" t="s">
        <v>1</v>
      </c>
      <c r="AM88" s="23">
        <f t="shared" si="316"/>
        <v>6.810030620641285</v>
      </c>
      <c r="AN88" s="8"/>
      <c r="AO88" s="19">
        <f>AO86+AO87</f>
        <v>19698.25</v>
      </c>
      <c r="AP88" s="6" t="s">
        <v>1</v>
      </c>
      <c r="AQ88" s="9">
        <f>AQ87+AQ86</f>
        <v>9936907</v>
      </c>
      <c r="AR88" s="23">
        <f t="shared" si="317"/>
        <v>1.0646075702576923</v>
      </c>
      <c r="AS88" s="24" t="s">
        <v>1</v>
      </c>
      <c r="AT88" s="23">
        <f t="shared" si="318"/>
        <v>0.3962744823663371</v>
      </c>
      <c r="AU88" s="8"/>
      <c r="AV88" s="19">
        <f>AV86+AV87</f>
        <v>19957.75</v>
      </c>
      <c r="AW88" s="6" t="s">
        <v>1</v>
      </c>
      <c r="AX88" s="9">
        <f>AX87+AX86</f>
        <v>10151758</v>
      </c>
      <c r="AY88" s="23">
        <f t="shared" si="319"/>
        <v>1.3173759090274473</v>
      </c>
      <c r="AZ88" s="24" t="s">
        <v>1</v>
      </c>
      <c r="BA88" s="23">
        <f t="shared" si="320"/>
        <v>2.1621516634904623</v>
      </c>
      <c r="BB88" s="8"/>
      <c r="BC88" s="19">
        <f>BC86+BC87</f>
        <v>20670.25</v>
      </c>
      <c r="BD88" s="6" t="s">
        <v>1</v>
      </c>
      <c r="BE88" s="9">
        <f>BE87+BE86</f>
        <v>10816295</v>
      </c>
      <c r="BF88" s="23">
        <f t="shared" si="321"/>
        <v>3.570041713118968</v>
      </c>
      <c r="BG88" s="24" t="s">
        <v>1</v>
      </c>
      <c r="BH88" s="23">
        <f t="shared" si="322"/>
        <v>6.546028776493685</v>
      </c>
      <c r="BI88" s="8"/>
      <c r="BJ88" s="19">
        <f>BJ86+BJ87</f>
        <v>20628.5</v>
      </c>
      <c r="BK88" s="6" t="s">
        <v>1</v>
      </c>
      <c r="BL88" s="9">
        <f>BL87+BL86</f>
        <v>9351954</v>
      </c>
      <c r="BM88" s="23">
        <f t="shared" si="353"/>
        <v>-0.20198110811432457</v>
      </c>
      <c r="BN88" s="24" t="s">
        <v>1</v>
      </c>
      <c r="BO88" s="23">
        <f t="shared" si="323"/>
        <v>-13.538286446514263</v>
      </c>
      <c r="BP88" s="8"/>
      <c r="BQ88" s="19">
        <f>BQ86+BQ87</f>
        <v>23255.1</v>
      </c>
      <c r="BR88" s="6" t="s">
        <v>1</v>
      </c>
      <c r="BS88" s="9">
        <f>BS87+BS86</f>
        <v>9560157</v>
      </c>
      <c r="BT88" s="23">
        <f t="shared" si="354"/>
        <v>12.732869573648102</v>
      </c>
      <c r="BU88" s="24" t="s">
        <v>1</v>
      </c>
      <c r="BV88" s="23">
        <f t="shared" si="324"/>
        <v>2.2263047914906338</v>
      </c>
      <c r="BW88" s="8"/>
      <c r="BX88" s="19">
        <f>BX86+BX87</f>
        <v>24599.47</v>
      </c>
      <c r="BY88" s="6" t="s">
        <v>1</v>
      </c>
      <c r="BZ88" s="9">
        <f>BZ87+BZ86</f>
        <v>12401980</v>
      </c>
      <c r="CA88" s="23">
        <f t="shared" si="325"/>
        <v>5.780968475732209</v>
      </c>
      <c r="CB88" s="24" t="s">
        <v>1</v>
      </c>
      <c r="CC88" s="23">
        <f t="shared" si="326"/>
        <v>29.725693835362733</v>
      </c>
      <c r="CD88" s="8"/>
      <c r="CE88" s="19">
        <f>CE86+CE87</f>
        <v>23949.6</v>
      </c>
      <c r="CF88" s="6" t="s">
        <v>1</v>
      </c>
      <c r="CG88" s="9">
        <f>CG87+CG86</f>
        <v>11366443</v>
      </c>
      <c r="CH88" s="23">
        <f t="shared" si="327"/>
        <v>-2.641804884414185</v>
      </c>
      <c r="CI88" s="24" t="s">
        <v>1</v>
      </c>
      <c r="CJ88" s="23">
        <f t="shared" si="328"/>
        <v>-8.349771568733374</v>
      </c>
      <c r="CK88" s="8"/>
      <c r="CL88" s="19">
        <f>CL86+CL87</f>
        <v>25437.1</v>
      </c>
      <c r="CM88" s="6" t="s">
        <v>1</v>
      </c>
      <c r="CN88" s="9">
        <f>CN87+CN86</f>
        <v>14189196</v>
      </c>
      <c r="CO88" s="23">
        <f t="shared" si="329"/>
        <v>6.210959681998872</v>
      </c>
      <c r="CP88" s="24" t="s">
        <v>1</v>
      </c>
      <c r="CQ88" s="23">
        <f t="shared" si="330"/>
        <v>24.8340927764297</v>
      </c>
      <c r="CR88" s="8"/>
      <c r="CS88" s="19">
        <f>CS86+CS87</f>
        <v>28426.5</v>
      </c>
      <c r="CT88" s="6" t="s">
        <v>1</v>
      </c>
      <c r="CU88" s="9">
        <f>CU87+CU86</f>
        <v>15545122</v>
      </c>
      <c r="CV88" s="23">
        <f t="shared" si="331"/>
        <v>11.752125831954118</v>
      </c>
      <c r="CW88" s="24" t="s">
        <v>1</v>
      </c>
      <c r="CX88" s="23">
        <f t="shared" si="332"/>
        <v>9.556045317860153</v>
      </c>
      <c r="CY88" s="8"/>
      <c r="CZ88" s="19">
        <f>CZ86+CZ87</f>
        <v>29927.5</v>
      </c>
      <c r="DA88" s="6" t="s">
        <v>1</v>
      </c>
      <c r="DB88" s="9">
        <f>DB87+DB86</f>
        <v>18149695</v>
      </c>
      <c r="DC88" s="23">
        <f t="shared" si="333"/>
        <v>5.2802842418166165</v>
      </c>
      <c r="DD88" s="24" t="s">
        <v>1</v>
      </c>
      <c r="DE88" s="23">
        <f t="shared" si="334"/>
        <v>16.754921576041667</v>
      </c>
      <c r="DF88" s="8"/>
      <c r="DG88" s="19">
        <f>DG86+DG87</f>
        <v>29560.8</v>
      </c>
      <c r="DH88" s="6" t="s">
        <v>1</v>
      </c>
      <c r="DI88" s="9">
        <f>DI87+DI86</f>
        <v>17752920</v>
      </c>
      <c r="DJ88" s="23">
        <f t="shared" si="335"/>
        <v>-1.2252944616155759</v>
      </c>
      <c r="DK88" s="24" t="s">
        <v>1</v>
      </c>
      <c r="DL88" s="23">
        <f t="shared" si="336"/>
        <v>-2.186124890803953</v>
      </c>
      <c r="DM88" s="8"/>
      <c r="DN88" s="19">
        <f>DN86+DN87</f>
        <v>30460</v>
      </c>
      <c r="DO88" s="6" t="s">
        <v>1</v>
      </c>
      <c r="DP88" s="9">
        <f>DP87+DP86</f>
        <v>15363072</v>
      </c>
      <c r="DQ88" s="23">
        <f t="shared" si="337"/>
        <v>3.041866255311092</v>
      </c>
      <c r="DR88" s="24" t="s">
        <v>1</v>
      </c>
      <c r="DS88" s="23">
        <f t="shared" si="338"/>
        <v>-13.461717846979539</v>
      </c>
      <c r="DT88" s="8"/>
      <c r="DU88" s="19">
        <f>DU86+DU87</f>
        <v>32135.5</v>
      </c>
      <c r="DV88" s="6" t="s">
        <v>1</v>
      </c>
      <c r="DW88" s="9">
        <f>DW87+DW86</f>
        <v>17347775</v>
      </c>
      <c r="DX88" s="23">
        <f t="shared" si="339"/>
        <v>5.500656598818125</v>
      </c>
      <c r="DY88" s="24" t="s">
        <v>1</v>
      </c>
      <c r="DZ88" s="23">
        <f t="shared" si="340"/>
        <v>12.9186597576318</v>
      </c>
      <c r="EA88" s="8"/>
      <c r="EB88" s="19">
        <f>EB86+EB87</f>
        <v>33894.3</v>
      </c>
      <c r="EC88" s="6" t="s">
        <v>1</v>
      </c>
      <c r="ED88" s="9">
        <f>ED87+ED86</f>
        <v>23261185</v>
      </c>
      <c r="EE88" s="23">
        <f t="shared" si="341"/>
        <v>5.473074948265946</v>
      </c>
      <c r="EF88" s="24" t="s">
        <v>1</v>
      </c>
      <c r="EG88" s="23">
        <f t="shared" si="342"/>
        <v>34.087426197307735</v>
      </c>
      <c r="EH88" s="8"/>
      <c r="EI88" s="19">
        <f>EI86+EI87</f>
        <v>27250.7</v>
      </c>
      <c r="EJ88" s="6" t="s">
        <v>1</v>
      </c>
      <c r="EK88" s="9">
        <f>EK87+EK86</f>
        <v>16454380</v>
      </c>
      <c r="EL88" s="23">
        <f t="shared" si="343"/>
        <v>-19.60093585057075</v>
      </c>
      <c r="EM88" s="24" t="s">
        <v>1</v>
      </c>
      <c r="EN88" s="23">
        <f t="shared" si="344"/>
        <v>-29.262503178578385</v>
      </c>
      <c r="EO88" s="8"/>
      <c r="EP88" s="19">
        <f>EP86+EP87</f>
        <v>24096.2</v>
      </c>
      <c r="EQ88" s="6" t="s">
        <v>1</v>
      </c>
      <c r="ER88" s="9">
        <f>ER87+ER86</f>
        <v>15085595</v>
      </c>
      <c r="ES88" s="23">
        <f t="shared" si="345"/>
        <v>-11.575849427721124</v>
      </c>
      <c r="ET88" s="24" t="s">
        <v>1</v>
      </c>
      <c r="EU88" s="23">
        <f t="shared" si="346"/>
        <v>-8.318666519188199</v>
      </c>
      <c r="EV88" s="8"/>
      <c r="EW88" s="19">
        <f>EW86+EW87</f>
        <v>22936.7</v>
      </c>
      <c r="EX88" s="10">
        <f>EY88/EW88</f>
        <v>661.443538085252</v>
      </c>
      <c r="EY88" s="9">
        <f>EY87+EY86</f>
        <v>15171332</v>
      </c>
      <c r="EZ88" s="9">
        <f>EZ87+EZ86</f>
        <v>14945463</v>
      </c>
      <c r="FA88" s="23">
        <f t="shared" si="198"/>
        <v>-4.811962052107802</v>
      </c>
      <c r="FB88" s="24" t="s">
        <v>1</v>
      </c>
      <c r="FC88" s="23">
        <f t="shared" si="199"/>
        <v>-0.928912648125575</v>
      </c>
      <c r="FD88" s="8"/>
      <c r="FE88" s="19">
        <f>FE86+FE87</f>
        <v>23761.55</v>
      </c>
      <c r="FF88" s="10">
        <f>FG88/FE88</f>
        <v>628.2062407544962</v>
      </c>
      <c r="FG88" s="9">
        <f>FG87+FG86</f>
        <v>14927154</v>
      </c>
      <c r="FH88" s="9">
        <f>FH87+FH86</f>
        <v>14924661</v>
      </c>
      <c r="FI88" s="23">
        <f>FE88*100/EW88-100</f>
        <v>3.596201720386972</v>
      </c>
      <c r="FJ88" s="23">
        <f t="shared" si="373"/>
        <v>-5.024963646477104</v>
      </c>
      <c r="FK88" s="23">
        <f t="shared" si="373"/>
        <v>-1.609469755193544</v>
      </c>
      <c r="FL88" s="23">
        <f>FH88*100/EZ88-100</f>
        <v>-0.13918605265023132</v>
      </c>
      <c r="FM88" s="23"/>
      <c r="FN88" s="19">
        <f>FN86+FN87</f>
        <v>27326.65</v>
      </c>
      <c r="FO88" s="6" t="s">
        <v>1</v>
      </c>
      <c r="FP88" s="9">
        <f>FP87+FP86</f>
        <v>20045315</v>
      </c>
      <c r="FQ88" s="9">
        <f>FQ87+FQ86</f>
        <v>20044865</v>
      </c>
      <c r="FR88" s="24" t="s">
        <v>1</v>
      </c>
      <c r="FS88" s="24" t="s">
        <v>1</v>
      </c>
      <c r="FT88" s="23">
        <f t="shared" si="368"/>
        <v>34.2875875736259</v>
      </c>
      <c r="FU88" s="23">
        <f t="shared" si="368"/>
        <v>34.30700369006706</v>
      </c>
      <c r="FV88" s="23"/>
      <c r="FW88" s="19">
        <f>FW86+FW87</f>
        <v>26365.93</v>
      </c>
      <c r="FX88" s="6" t="s">
        <v>1</v>
      </c>
      <c r="FY88" s="19">
        <f>FY86+FY87</f>
        <v>13666929</v>
      </c>
      <c r="FZ88" s="19">
        <f>FZ86+FZ87</f>
        <v>16664176</v>
      </c>
      <c r="GA88" s="24" t="s">
        <v>1</v>
      </c>
      <c r="GB88" s="24" t="s">
        <v>1</v>
      </c>
      <c r="GC88" s="24" t="s">
        <v>1</v>
      </c>
      <c r="GD88" s="24" t="s">
        <v>1</v>
      </c>
      <c r="GE88" s="23"/>
      <c r="GF88" s="19">
        <f>GF86+GF87</f>
        <v>25524.18</v>
      </c>
      <c r="GG88" s="6" t="s">
        <v>1</v>
      </c>
      <c r="GH88" s="19">
        <f>GH86+GH87</f>
        <v>17901852</v>
      </c>
      <c r="GI88" s="19">
        <f>GI86+GI87</f>
        <v>17900777</v>
      </c>
      <c r="GJ88" s="23">
        <f t="shared" si="300"/>
        <v>-3.1925670742507464</v>
      </c>
      <c r="GK88" s="24" t="s">
        <v>1</v>
      </c>
      <c r="GL88" s="23">
        <f t="shared" si="363"/>
        <v>30.986646670952922</v>
      </c>
      <c r="GM88" s="23">
        <f t="shared" si="363"/>
        <v>7.420714951642367</v>
      </c>
      <c r="GN88" s="23"/>
      <c r="GO88" s="19">
        <f>GO86+GO87</f>
        <v>22870.56</v>
      </c>
      <c r="GP88" s="6" t="s">
        <v>1</v>
      </c>
      <c r="GQ88" s="19">
        <f>GQ86+GQ87</f>
        <v>15805517</v>
      </c>
      <c r="GR88" s="19">
        <f>GR86+GR87</f>
        <v>15805112</v>
      </c>
      <c r="GS88" s="23">
        <f t="shared" si="301"/>
        <v>-10.396494618044542</v>
      </c>
      <c r="GT88" s="24" t="s">
        <v>1</v>
      </c>
      <c r="GU88" s="23">
        <f t="shared" si="364"/>
        <v>-11.710157139049073</v>
      </c>
      <c r="GV88" s="23">
        <f t="shared" si="365"/>
        <v>-11.7071175178597</v>
      </c>
      <c r="GW88" s="23"/>
      <c r="GX88" s="19">
        <f>GX86+GX87</f>
        <v>20578.48</v>
      </c>
      <c r="GY88" s="6" t="s">
        <v>1</v>
      </c>
      <c r="GZ88" s="19">
        <f>GZ86+GZ87</f>
        <v>14254590</v>
      </c>
      <c r="HA88" s="19">
        <f>HA86+HA87</f>
        <v>14254215</v>
      </c>
      <c r="HB88" s="23">
        <f t="shared" si="302"/>
        <v>-10.021967105309187</v>
      </c>
      <c r="HC88" s="24" t="s">
        <v>1</v>
      </c>
      <c r="HD88" s="23">
        <f t="shared" si="366"/>
        <v>-9.812567345946348</v>
      </c>
      <c r="HE88" s="23">
        <f t="shared" si="367"/>
        <v>-9.81262897725749</v>
      </c>
      <c r="HF88" s="23"/>
      <c r="HG88" s="19">
        <f>HG86+HG87</f>
        <v>25016.03</v>
      </c>
      <c r="HH88" s="6" t="s">
        <v>1</v>
      </c>
      <c r="HI88" s="19">
        <f>HI86+HI87</f>
        <v>16662250</v>
      </c>
      <c r="HJ88" s="19">
        <f>HJ86+HJ87</f>
        <v>16661913</v>
      </c>
      <c r="HK88" s="23">
        <f t="shared" si="304"/>
        <v>21.564031940162735</v>
      </c>
      <c r="HL88" s="24" t="s">
        <v>1</v>
      </c>
      <c r="HM88" s="23">
        <f t="shared" si="375"/>
        <v>16.890419156215643</v>
      </c>
      <c r="HN88" s="23">
        <f t="shared" si="376"/>
        <v>16.891130097308064</v>
      </c>
      <c r="HO88" s="23"/>
      <c r="HP88" s="19">
        <f>HP86+HP87</f>
        <v>26721.1</v>
      </c>
      <c r="HQ88" s="6" t="s">
        <v>1</v>
      </c>
      <c r="HR88" s="19">
        <f>HR86+HR87</f>
        <v>18351388</v>
      </c>
      <c r="HS88" s="19">
        <f>HS86+HS87</f>
        <v>18351051</v>
      </c>
      <c r="HT88" s="23">
        <f t="shared" si="306"/>
        <v>6.81590963873964</v>
      </c>
      <c r="HU88" s="24" t="s">
        <v>1</v>
      </c>
      <c r="HV88" s="23">
        <f t="shared" si="370"/>
        <v>10.137514441326957</v>
      </c>
      <c r="HW88" s="23">
        <f t="shared" si="371"/>
        <v>10.137719480350185</v>
      </c>
      <c r="HX88" s="23"/>
      <c r="HY88" s="19">
        <f>HY86+HY87</f>
        <v>0</v>
      </c>
      <c r="HZ88" s="6" t="s">
        <v>1</v>
      </c>
      <c r="IA88" s="19">
        <f>IA86+IA87</f>
        <v>0</v>
      </c>
      <c r="IB88" s="19">
        <f>IB86+IB87</f>
        <v>0</v>
      </c>
      <c r="IC88" s="23">
        <f t="shared" si="308"/>
        <v>-100</v>
      </c>
      <c r="ID88" s="24" t="s">
        <v>1</v>
      </c>
      <c r="IE88" s="23">
        <f t="shared" si="309"/>
        <v>-100</v>
      </c>
      <c r="IF88" s="23">
        <f t="shared" si="310"/>
        <v>-100</v>
      </c>
      <c r="IG88" s="23"/>
      <c r="IH88" s="1" t="s">
        <v>84</v>
      </c>
      <c r="II88" s="29">
        <f t="shared" si="357"/>
        <v>24572.698</v>
      </c>
      <c r="IJ88" s="30">
        <f t="shared" si="358"/>
        <v>644.8248894198741</v>
      </c>
      <c r="IK88" s="29">
        <f t="shared" si="359"/>
        <v>16274115.7</v>
      </c>
      <c r="IL88" s="25">
        <f t="shared" si="360"/>
        <v>8.743044821533232</v>
      </c>
      <c r="IM88" s="25">
        <f t="shared" si="361"/>
        <v>-100</v>
      </c>
      <c r="IN88" s="25">
        <f t="shared" si="362"/>
        <v>12.762200652168161</v>
      </c>
      <c r="IP88" s="30">
        <f>HP88*100/Italia!BR88</f>
        <v>24.93162280082189</v>
      </c>
      <c r="IQ88" s="30">
        <f>HR88*100/Italia!BT88</f>
        <v>27.637153874594038</v>
      </c>
      <c r="IR88" s="30">
        <f>HS88*100/Italia!BU88</f>
        <v>28.627673100181806</v>
      </c>
    </row>
    <row r="89" spans="1:252" ht="12">
      <c r="A89" s="1" t="s">
        <v>85</v>
      </c>
      <c r="B89" s="20">
        <v>45</v>
      </c>
      <c r="C89" s="10">
        <f>D89/B89</f>
        <v>340</v>
      </c>
      <c r="D89" s="11">
        <v>15300</v>
      </c>
      <c r="E89" s="9"/>
      <c r="F89" s="20">
        <v>42</v>
      </c>
      <c r="G89" s="10">
        <f>H89/F89</f>
        <v>350</v>
      </c>
      <c r="H89" s="11">
        <v>14700</v>
      </c>
      <c r="I89" s="23">
        <f t="shared" si="349"/>
        <v>-6.666666666666671</v>
      </c>
      <c r="J89" s="23">
        <f>G89*100/C89-100</f>
        <v>2.941176470588232</v>
      </c>
      <c r="K89" s="23">
        <f t="shared" si="350"/>
        <v>-3.9215686274509807</v>
      </c>
      <c r="L89" s="8"/>
      <c r="M89" s="20">
        <v>45</v>
      </c>
      <c r="N89" s="10">
        <f>O89/M89</f>
        <v>360</v>
      </c>
      <c r="O89" s="11">
        <v>16200</v>
      </c>
      <c r="P89" s="23">
        <f t="shared" si="351"/>
        <v>7.142857142857139</v>
      </c>
      <c r="Q89" s="23">
        <f>N89*100/G89-100</f>
        <v>2.857142857142861</v>
      </c>
      <c r="R89" s="23">
        <f t="shared" si="352"/>
        <v>10.204081632653057</v>
      </c>
      <c r="S89" s="8"/>
      <c r="T89" s="20">
        <v>20</v>
      </c>
      <c r="U89" s="10">
        <v>375</v>
      </c>
      <c r="V89" s="11">
        <v>7500</v>
      </c>
      <c r="W89" s="23">
        <f t="shared" si="311"/>
        <v>-55.55555555555556</v>
      </c>
      <c r="X89" s="23">
        <f>U89*100/N89-100</f>
        <v>4.166666666666671</v>
      </c>
      <c r="Y89" s="23">
        <f t="shared" si="312"/>
        <v>-53.7037037037037</v>
      </c>
      <c r="Z89" s="8"/>
      <c r="AA89" s="20">
        <v>18</v>
      </c>
      <c r="AB89" s="10">
        <f>AC89/AA89</f>
        <v>550</v>
      </c>
      <c r="AC89" s="11">
        <v>9900</v>
      </c>
      <c r="AD89" s="23">
        <f t="shared" si="313"/>
        <v>-10</v>
      </c>
      <c r="AE89" s="23">
        <f>AB89*100/U89-100</f>
        <v>46.66666666666666</v>
      </c>
      <c r="AF89" s="23">
        <f t="shared" si="314"/>
        <v>32</v>
      </c>
      <c r="AG89" s="8"/>
      <c r="AH89" s="20">
        <v>20</v>
      </c>
      <c r="AI89" s="10">
        <v>500</v>
      </c>
      <c r="AJ89" s="11">
        <v>10000</v>
      </c>
      <c r="AK89" s="23">
        <f t="shared" si="315"/>
        <v>11.111111111111114</v>
      </c>
      <c r="AL89" s="23">
        <f>AI89*100/AB89-100</f>
        <v>-9.090909090909093</v>
      </c>
      <c r="AM89" s="23">
        <f t="shared" si="316"/>
        <v>1.0101010101010104</v>
      </c>
      <c r="AN89" s="8"/>
      <c r="AO89" s="20">
        <v>20</v>
      </c>
      <c r="AP89" s="10">
        <v>478.5</v>
      </c>
      <c r="AQ89" s="11">
        <v>9600</v>
      </c>
      <c r="AR89" s="23">
        <f t="shared" si="317"/>
        <v>0</v>
      </c>
      <c r="AS89" s="23">
        <f>AP89*100/AI89-100</f>
        <v>-4.299999999999997</v>
      </c>
      <c r="AT89" s="23">
        <f t="shared" si="318"/>
        <v>-4</v>
      </c>
      <c r="AU89" s="8"/>
      <c r="AV89" s="20">
        <v>22</v>
      </c>
      <c r="AW89" s="10">
        <v>466.4</v>
      </c>
      <c r="AX89" s="11">
        <v>10260</v>
      </c>
      <c r="AY89" s="23">
        <f t="shared" si="319"/>
        <v>10</v>
      </c>
      <c r="AZ89" s="23">
        <f>AW89*100/AP89-100</f>
        <v>-2.52873563218391</v>
      </c>
      <c r="BA89" s="23">
        <f t="shared" si="320"/>
        <v>6.875</v>
      </c>
      <c r="BB89" s="8"/>
      <c r="BC89" s="20">
        <v>25</v>
      </c>
      <c r="BD89" s="10">
        <v>462</v>
      </c>
      <c r="BE89" s="11">
        <v>11550</v>
      </c>
      <c r="BF89" s="23">
        <f t="shared" si="321"/>
        <v>13.63636363636364</v>
      </c>
      <c r="BG89" s="23">
        <f>BD89*100/AW89-100</f>
        <v>-0.9433962264150892</v>
      </c>
      <c r="BH89" s="23">
        <f t="shared" si="322"/>
        <v>12.57309941520468</v>
      </c>
      <c r="BI89" s="8"/>
      <c r="BJ89" s="20">
        <v>15</v>
      </c>
      <c r="BK89" s="10">
        <v>450</v>
      </c>
      <c r="BL89" s="11">
        <v>6750</v>
      </c>
      <c r="BM89" s="23">
        <f t="shared" si="353"/>
        <v>-40</v>
      </c>
      <c r="BN89" s="23">
        <f>BK89*100/BD89-100</f>
        <v>-2.597402597402592</v>
      </c>
      <c r="BO89" s="23">
        <f t="shared" si="323"/>
        <v>-41.55844155844156</v>
      </c>
      <c r="BP89" s="8"/>
      <c r="BQ89" s="20">
        <v>14</v>
      </c>
      <c r="BR89" s="10">
        <v>431.43</v>
      </c>
      <c r="BS89" s="11">
        <v>6040</v>
      </c>
      <c r="BT89" s="23">
        <f t="shared" si="354"/>
        <v>-6.666666666666671</v>
      </c>
      <c r="BU89" s="23">
        <f>BR89*100/BK89-100</f>
        <v>-4.126666666666665</v>
      </c>
      <c r="BV89" s="23">
        <f t="shared" si="324"/>
        <v>-10.518518518518519</v>
      </c>
      <c r="BW89" s="8"/>
      <c r="BX89" s="20">
        <v>0</v>
      </c>
      <c r="BY89" s="10">
        <v>0</v>
      </c>
      <c r="BZ89" s="11">
        <v>0</v>
      </c>
      <c r="CA89" s="23">
        <f t="shared" si="325"/>
        <v>-100</v>
      </c>
      <c r="CB89" s="23">
        <f>BY89*100/BR89-100</f>
        <v>-100</v>
      </c>
      <c r="CC89" s="23">
        <f t="shared" si="326"/>
        <v>-100</v>
      </c>
      <c r="CD89" s="8"/>
      <c r="CE89" s="20">
        <v>0</v>
      </c>
      <c r="CF89" s="10">
        <v>0</v>
      </c>
      <c r="CG89" s="11">
        <v>0</v>
      </c>
      <c r="CH89" s="23" t="e">
        <f t="shared" si="327"/>
        <v>#DIV/0!</v>
      </c>
      <c r="CI89" s="23" t="e">
        <f>CF89*100/BY89-100</f>
        <v>#DIV/0!</v>
      </c>
      <c r="CJ89" s="23" t="e">
        <f t="shared" si="328"/>
        <v>#DIV/0!</v>
      </c>
      <c r="CK89" s="8"/>
      <c r="CL89" s="20">
        <v>0</v>
      </c>
      <c r="CM89" s="10">
        <v>0</v>
      </c>
      <c r="CN89" s="11">
        <v>0</v>
      </c>
      <c r="CO89" s="23" t="e">
        <f t="shared" si="329"/>
        <v>#DIV/0!</v>
      </c>
      <c r="CP89" s="23" t="e">
        <f>CM89*100/CF89-100</f>
        <v>#DIV/0!</v>
      </c>
      <c r="CQ89" s="23" t="e">
        <f t="shared" si="330"/>
        <v>#DIV/0!</v>
      </c>
      <c r="CR89" s="8"/>
      <c r="CS89" s="20">
        <v>0</v>
      </c>
      <c r="CT89" s="10">
        <v>0</v>
      </c>
      <c r="CU89" s="11">
        <v>0</v>
      </c>
      <c r="CV89" s="23" t="e">
        <f t="shared" si="331"/>
        <v>#DIV/0!</v>
      </c>
      <c r="CW89" s="23" t="e">
        <f>CT89*100/CM89-100</f>
        <v>#DIV/0!</v>
      </c>
      <c r="CX89" s="23" t="e">
        <f t="shared" si="332"/>
        <v>#DIV/0!</v>
      </c>
      <c r="CY89" s="8"/>
      <c r="CZ89" s="20">
        <v>0</v>
      </c>
      <c r="DA89" s="10">
        <v>0</v>
      </c>
      <c r="DB89" s="11">
        <v>0</v>
      </c>
      <c r="DC89" s="23" t="e">
        <f t="shared" si="333"/>
        <v>#DIV/0!</v>
      </c>
      <c r="DD89" s="23" t="e">
        <f>DA89*100/CT89-100</f>
        <v>#DIV/0!</v>
      </c>
      <c r="DE89" s="23" t="e">
        <f t="shared" si="334"/>
        <v>#DIV/0!</v>
      </c>
      <c r="DF89" s="8"/>
      <c r="DG89" s="20"/>
      <c r="DH89" s="10"/>
      <c r="DI89" s="11"/>
      <c r="DJ89" s="23" t="e">
        <f t="shared" si="335"/>
        <v>#DIV/0!</v>
      </c>
      <c r="DK89" s="23" t="e">
        <f>DH89*100/DA89-100</f>
        <v>#DIV/0!</v>
      </c>
      <c r="DL89" s="23" t="e">
        <f t="shared" si="336"/>
        <v>#DIV/0!</v>
      </c>
      <c r="DM89" s="8"/>
      <c r="DN89" s="20"/>
      <c r="DO89" s="10"/>
      <c r="DP89" s="11"/>
      <c r="DQ89" s="23" t="e">
        <f t="shared" si="337"/>
        <v>#DIV/0!</v>
      </c>
      <c r="DR89" s="23" t="e">
        <f>DO89*100/DH89-100</f>
        <v>#DIV/0!</v>
      </c>
      <c r="DS89" s="23" t="e">
        <f t="shared" si="338"/>
        <v>#DIV/0!</v>
      </c>
      <c r="DT89" s="8"/>
      <c r="DU89" s="20"/>
      <c r="DV89" s="10"/>
      <c r="DW89" s="11"/>
      <c r="DX89" s="23" t="e">
        <f t="shared" si="339"/>
        <v>#DIV/0!</v>
      </c>
      <c r="DY89" s="23" t="e">
        <f>DV89*100/DO89-100</f>
        <v>#DIV/0!</v>
      </c>
      <c r="DZ89" s="23" t="e">
        <f t="shared" si="340"/>
        <v>#DIV/0!</v>
      </c>
      <c r="EA89" s="8"/>
      <c r="EB89" s="20"/>
      <c r="EC89" s="10"/>
      <c r="ED89" s="11"/>
      <c r="EE89" s="23" t="e">
        <f t="shared" si="341"/>
        <v>#DIV/0!</v>
      </c>
      <c r="EF89" s="23" t="e">
        <f>EC89*100/DV89-100</f>
        <v>#DIV/0!</v>
      </c>
      <c r="EG89" s="23" t="e">
        <f t="shared" si="342"/>
        <v>#DIV/0!</v>
      </c>
      <c r="EH89" s="8"/>
      <c r="EI89" s="20"/>
      <c r="EJ89" s="10"/>
      <c r="EK89" s="11"/>
      <c r="EL89" s="23" t="e">
        <f t="shared" si="343"/>
        <v>#DIV/0!</v>
      </c>
      <c r="EM89" s="23" t="e">
        <f>EJ89*100/EC89-100</f>
        <v>#DIV/0!</v>
      </c>
      <c r="EN89" s="23" t="e">
        <f t="shared" si="344"/>
        <v>#DIV/0!</v>
      </c>
      <c r="EO89" s="8"/>
      <c r="EP89" s="6" t="s">
        <v>1</v>
      </c>
      <c r="EQ89" s="6" t="s">
        <v>1</v>
      </c>
      <c r="ER89" s="6" t="s">
        <v>1</v>
      </c>
      <c r="ES89" s="6" t="s">
        <v>1</v>
      </c>
      <c r="ET89" s="6" t="s">
        <v>1</v>
      </c>
      <c r="EU89" s="6" t="s">
        <v>1</v>
      </c>
      <c r="EV89" s="8"/>
      <c r="EW89" s="6" t="s">
        <v>1</v>
      </c>
      <c r="EX89" s="6" t="s">
        <v>1</v>
      </c>
      <c r="EY89" s="6" t="s">
        <v>1</v>
      </c>
      <c r="EZ89" s="6" t="s">
        <v>1</v>
      </c>
      <c r="FA89" s="6" t="s">
        <v>1</v>
      </c>
      <c r="FB89" s="6" t="s">
        <v>1</v>
      </c>
      <c r="FC89" s="6" t="s">
        <v>1</v>
      </c>
      <c r="FD89" s="6"/>
      <c r="FE89" s="35" t="s">
        <v>1</v>
      </c>
      <c r="FF89" s="34" t="s">
        <v>1</v>
      </c>
      <c r="FG89" s="34" t="s">
        <v>1</v>
      </c>
      <c r="FH89" s="34" t="s">
        <v>1</v>
      </c>
      <c r="FI89" s="34" t="s">
        <v>1</v>
      </c>
      <c r="FJ89" s="34" t="s">
        <v>1</v>
      </c>
      <c r="FK89" s="34" t="s">
        <v>1</v>
      </c>
      <c r="FL89" s="34" t="s">
        <v>1</v>
      </c>
      <c r="FM89" s="23"/>
      <c r="FN89" s="34" t="s">
        <v>1</v>
      </c>
      <c r="FO89" s="34" t="s">
        <v>1</v>
      </c>
      <c r="FP89" s="34" t="s">
        <v>1</v>
      </c>
      <c r="FQ89" s="34" t="s">
        <v>1</v>
      </c>
      <c r="FR89" s="34" t="s">
        <v>1</v>
      </c>
      <c r="FS89" s="34" t="s">
        <v>1</v>
      </c>
      <c r="FT89" s="34" t="s">
        <v>1</v>
      </c>
      <c r="FU89" s="34" t="s">
        <v>1</v>
      </c>
      <c r="FV89" s="23"/>
      <c r="FW89" s="34" t="s">
        <v>1</v>
      </c>
      <c r="FX89" s="34" t="s">
        <v>1</v>
      </c>
      <c r="FY89" s="34" t="s">
        <v>1</v>
      </c>
      <c r="FZ89" s="34" t="s">
        <v>1</v>
      </c>
      <c r="GA89" s="34" t="s">
        <v>1</v>
      </c>
      <c r="GB89" s="34" t="s">
        <v>1</v>
      </c>
      <c r="GC89" s="34" t="s">
        <v>1</v>
      </c>
      <c r="GD89" s="34" t="s">
        <v>1</v>
      </c>
      <c r="GE89" s="23"/>
      <c r="GF89" s="34" t="s">
        <v>1</v>
      </c>
      <c r="GG89" s="34" t="s">
        <v>1</v>
      </c>
      <c r="GH89" s="34" t="s">
        <v>1</v>
      </c>
      <c r="GI89" s="34" t="s">
        <v>1</v>
      </c>
      <c r="GJ89" s="34" t="s">
        <v>1</v>
      </c>
      <c r="GK89" s="34" t="s">
        <v>1</v>
      </c>
      <c r="GL89" s="34" t="s">
        <v>1</v>
      </c>
      <c r="GM89" s="34" t="s">
        <v>1</v>
      </c>
      <c r="GN89" s="23"/>
      <c r="GO89" s="34" t="s">
        <v>1</v>
      </c>
      <c r="GP89" s="34" t="s">
        <v>1</v>
      </c>
      <c r="GQ89" s="34" t="s">
        <v>1</v>
      </c>
      <c r="GR89" s="34" t="s">
        <v>1</v>
      </c>
      <c r="GS89" s="34" t="s">
        <v>1</v>
      </c>
      <c r="GT89" s="34" t="s">
        <v>1</v>
      </c>
      <c r="GU89" s="34" t="s">
        <v>1</v>
      </c>
      <c r="GV89" s="34" t="s">
        <v>1</v>
      </c>
      <c r="GW89" s="23"/>
      <c r="GX89" s="34" t="s">
        <v>1</v>
      </c>
      <c r="GY89" s="34" t="s">
        <v>1</v>
      </c>
      <c r="GZ89" s="34" t="s">
        <v>1</v>
      </c>
      <c r="HA89" s="34" t="s">
        <v>1</v>
      </c>
      <c r="HB89" s="34" t="s">
        <v>1</v>
      </c>
      <c r="HC89" s="34" t="s">
        <v>1</v>
      </c>
      <c r="HD89" s="34" t="s">
        <v>1</v>
      </c>
      <c r="HE89" s="34" t="s">
        <v>1</v>
      </c>
      <c r="HF89" s="23"/>
      <c r="HG89" s="34" t="s">
        <v>1</v>
      </c>
      <c r="HH89" s="34" t="s">
        <v>1</v>
      </c>
      <c r="HI89" s="34" t="s">
        <v>1</v>
      </c>
      <c r="HJ89" s="34" t="s">
        <v>1</v>
      </c>
      <c r="HK89" s="34" t="s">
        <v>1</v>
      </c>
      <c r="HL89" s="34" t="s">
        <v>1</v>
      </c>
      <c r="HM89" s="34" t="s">
        <v>1</v>
      </c>
      <c r="HN89" s="34" t="s">
        <v>1</v>
      </c>
      <c r="HO89" s="23"/>
      <c r="HP89" s="34" t="s">
        <v>1</v>
      </c>
      <c r="HQ89" s="34" t="s">
        <v>1</v>
      </c>
      <c r="HR89" s="34" t="s">
        <v>1</v>
      </c>
      <c r="HS89" s="34" t="s">
        <v>1</v>
      </c>
      <c r="HT89" s="34" t="s">
        <v>1</v>
      </c>
      <c r="HU89" s="34" t="s">
        <v>1</v>
      </c>
      <c r="HV89" s="34" t="s">
        <v>1</v>
      </c>
      <c r="HW89" s="34" t="s">
        <v>1</v>
      </c>
      <c r="HX89" s="23"/>
      <c r="HY89" s="34" t="s">
        <v>1</v>
      </c>
      <c r="HZ89" s="34" t="s">
        <v>1</v>
      </c>
      <c r="IA89" s="34" t="s">
        <v>1</v>
      </c>
      <c r="IB89" s="34" t="s">
        <v>1</v>
      </c>
      <c r="IC89" s="34" t="s">
        <v>1</v>
      </c>
      <c r="ID89" s="34" t="s">
        <v>1</v>
      </c>
      <c r="IE89" s="34" t="s">
        <v>1</v>
      </c>
      <c r="IF89" s="34" t="s">
        <v>1</v>
      </c>
      <c r="IG89" s="23"/>
      <c r="IH89" s="1" t="s">
        <v>85</v>
      </c>
      <c r="II89" s="29" t="e">
        <f t="shared" si="357"/>
        <v>#DIV/0!</v>
      </c>
      <c r="IJ89" s="30" t="e">
        <f t="shared" si="358"/>
        <v>#DIV/0!</v>
      </c>
      <c r="IK89" s="29" t="e">
        <f t="shared" si="359"/>
        <v>#DIV/0!</v>
      </c>
      <c r="IL89" s="25" t="e">
        <f t="shared" si="360"/>
        <v>#DIV/0!</v>
      </c>
      <c r="IM89" s="25" t="e">
        <f t="shared" si="361"/>
        <v>#DIV/0!</v>
      </c>
      <c r="IN89" s="25" t="e">
        <f t="shared" si="362"/>
        <v>#DIV/0!</v>
      </c>
      <c r="IP89" s="30">
        <f>HP89*100/Italia!BR89</f>
        <v>0</v>
      </c>
      <c r="IQ89" s="30">
        <f>HR89*100/Italia!BT89</f>
        <v>0</v>
      </c>
      <c r="IR89" s="30">
        <f>HS89*100/Italia!BU89</f>
        <v>0</v>
      </c>
    </row>
    <row r="90" spans="1:252" ht="12">
      <c r="A90" s="1" t="s">
        <v>86</v>
      </c>
      <c r="B90" s="20">
        <v>31</v>
      </c>
      <c r="C90" s="10">
        <f>D90/B90</f>
        <v>193.5483870967742</v>
      </c>
      <c r="D90" s="11">
        <v>6000</v>
      </c>
      <c r="E90" s="9"/>
      <c r="F90" s="20">
        <v>36</v>
      </c>
      <c r="G90" s="10">
        <f>H90/F90</f>
        <v>200</v>
      </c>
      <c r="H90" s="11">
        <v>7200</v>
      </c>
      <c r="I90" s="23">
        <f t="shared" si="349"/>
        <v>16.129032258064512</v>
      </c>
      <c r="J90" s="23">
        <f>G90*100/C90-100</f>
        <v>3.3333333333333286</v>
      </c>
      <c r="K90" s="23">
        <f t="shared" si="350"/>
        <v>20</v>
      </c>
      <c r="L90" s="8"/>
      <c r="M90" s="20">
        <v>34</v>
      </c>
      <c r="N90" s="10">
        <v>212.9</v>
      </c>
      <c r="O90" s="11">
        <v>7200</v>
      </c>
      <c r="P90" s="23">
        <f t="shared" si="351"/>
        <v>-5.555555555555557</v>
      </c>
      <c r="Q90" s="23">
        <f>N90*100/G90-100</f>
        <v>6.450000000000003</v>
      </c>
      <c r="R90" s="23">
        <f t="shared" si="352"/>
        <v>0</v>
      </c>
      <c r="S90" s="8"/>
      <c r="T90" s="20">
        <v>48</v>
      </c>
      <c r="U90" s="10">
        <v>227.9</v>
      </c>
      <c r="V90" s="11">
        <v>10900</v>
      </c>
      <c r="W90" s="23">
        <f t="shared" si="311"/>
        <v>41.176470588235304</v>
      </c>
      <c r="X90" s="23">
        <f>U90*100/N90-100</f>
        <v>7.045561296383269</v>
      </c>
      <c r="Y90" s="23">
        <f t="shared" si="312"/>
        <v>51.388888888888886</v>
      </c>
      <c r="Z90" s="8"/>
      <c r="AA90" s="20">
        <v>57</v>
      </c>
      <c r="AB90" s="10">
        <v>172.2</v>
      </c>
      <c r="AC90" s="11">
        <v>9800</v>
      </c>
      <c r="AD90" s="23">
        <f t="shared" si="313"/>
        <v>18.75</v>
      </c>
      <c r="AE90" s="23">
        <f>AB90*100/U90-100</f>
        <v>-24.440544098288726</v>
      </c>
      <c r="AF90" s="23">
        <f t="shared" si="314"/>
        <v>-10.091743119266056</v>
      </c>
      <c r="AG90" s="8"/>
      <c r="AH90" s="20">
        <v>57</v>
      </c>
      <c r="AI90" s="10">
        <v>221</v>
      </c>
      <c r="AJ90" s="11">
        <v>12500</v>
      </c>
      <c r="AK90" s="23">
        <f t="shared" si="315"/>
        <v>0</v>
      </c>
      <c r="AL90" s="23">
        <f>AI90*100/AB90-100</f>
        <v>28.339140534262498</v>
      </c>
      <c r="AM90" s="23">
        <f t="shared" si="316"/>
        <v>27.551020408163268</v>
      </c>
      <c r="AN90" s="8"/>
      <c r="AO90" s="20">
        <v>58</v>
      </c>
      <c r="AP90" s="10">
        <v>206.6</v>
      </c>
      <c r="AQ90" s="11">
        <v>11900</v>
      </c>
      <c r="AR90" s="23">
        <f t="shared" si="317"/>
        <v>1.7543859649122737</v>
      </c>
      <c r="AS90" s="23">
        <f>AP90*100/AI90-100</f>
        <v>-6.5158371040724035</v>
      </c>
      <c r="AT90" s="23">
        <f t="shared" si="318"/>
        <v>-4.799999999999997</v>
      </c>
      <c r="AU90" s="8"/>
      <c r="AV90" s="20">
        <v>60</v>
      </c>
      <c r="AW90" s="10">
        <v>211.7</v>
      </c>
      <c r="AX90" s="11">
        <v>12700</v>
      </c>
      <c r="AY90" s="23">
        <f t="shared" si="319"/>
        <v>3.448275862068968</v>
      </c>
      <c r="AZ90" s="23">
        <f>AW90*100/AP90-100</f>
        <v>2.4685382381413348</v>
      </c>
      <c r="BA90" s="23">
        <f t="shared" si="320"/>
        <v>6.722689075630257</v>
      </c>
      <c r="BB90" s="8"/>
      <c r="BC90" s="20">
        <v>48</v>
      </c>
      <c r="BD90" s="10">
        <v>210</v>
      </c>
      <c r="BE90" s="11">
        <v>10080</v>
      </c>
      <c r="BF90" s="23">
        <f t="shared" si="321"/>
        <v>-20</v>
      </c>
      <c r="BG90" s="23">
        <f>BD90*100/AW90-100</f>
        <v>-0.8030231459612622</v>
      </c>
      <c r="BH90" s="23">
        <f t="shared" si="322"/>
        <v>-20.62992125984252</v>
      </c>
      <c r="BI90" s="8"/>
      <c r="BJ90" s="20">
        <v>49</v>
      </c>
      <c r="BK90" s="10">
        <v>209</v>
      </c>
      <c r="BL90" s="11">
        <v>10241</v>
      </c>
      <c r="BM90" s="23">
        <f t="shared" si="353"/>
        <v>2.0833333333333286</v>
      </c>
      <c r="BN90" s="23">
        <f>BK90*100/BD90-100</f>
        <v>-0.4761904761904816</v>
      </c>
      <c r="BO90" s="23">
        <f t="shared" si="323"/>
        <v>1.5972222222222285</v>
      </c>
      <c r="BP90" s="8"/>
      <c r="BQ90" s="20">
        <v>48</v>
      </c>
      <c r="BR90" s="10">
        <v>210</v>
      </c>
      <c r="BS90" s="11">
        <v>10080</v>
      </c>
      <c r="BT90" s="23">
        <f t="shared" si="354"/>
        <v>-2.040816326530617</v>
      </c>
      <c r="BU90" s="23">
        <f>BR90*100/BK90-100</f>
        <v>0.4784688995215305</v>
      </c>
      <c r="BV90" s="23">
        <f t="shared" si="324"/>
        <v>-1.572112098427894</v>
      </c>
      <c r="BW90" s="8"/>
      <c r="BX90" s="20">
        <v>43</v>
      </c>
      <c r="BY90" s="10">
        <v>210</v>
      </c>
      <c r="BZ90" s="11">
        <v>9030</v>
      </c>
      <c r="CA90" s="23">
        <f t="shared" si="325"/>
        <v>-10.416666666666671</v>
      </c>
      <c r="CB90" s="23">
        <f>BY90*100/BR90-100</f>
        <v>0</v>
      </c>
      <c r="CC90" s="23">
        <f t="shared" si="326"/>
        <v>-10.416666666666671</v>
      </c>
      <c r="CD90" s="8"/>
      <c r="CE90" s="20">
        <v>44</v>
      </c>
      <c r="CF90" s="10">
        <v>216.6</v>
      </c>
      <c r="CG90" s="11">
        <v>9530</v>
      </c>
      <c r="CH90" s="23">
        <f t="shared" si="327"/>
        <v>2.3255813953488342</v>
      </c>
      <c r="CI90" s="23">
        <f>CF90*100/BY90-100</f>
        <v>3.142857142857139</v>
      </c>
      <c r="CJ90" s="23">
        <f t="shared" si="328"/>
        <v>5.53709856035438</v>
      </c>
      <c r="CK90" s="8"/>
      <c r="CL90" s="20">
        <v>29</v>
      </c>
      <c r="CM90" s="10">
        <v>220</v>
      </c>
      <c r="CN90" s="11">
        <v>6380</v>
      </c>
      <c r="CO90" s="23">
        <f t="shared" si="329"/>
        <v>-34.09090909090909</v>
      </c>
      <c r="CP90" s="23">
        <f>CM90*100/CF90-100</f>
        <v>1.5697137580794163</v>
      </c>
      <c r="CQ90" s="23">
        <f t="shared" si="330"/>
        <v>-33.05351521511018</v>
      </c>
      <c r="CR90" s="8"/>
      <c r="CS90" s="20">
        <v>30</v>
      </c>
      <c r="CT90" s="10">
        <v>225</v>
      </c>
      <c r="CU90" s="11">
        <v>6615</v>
      </c>
      <c r="CV90" s="23">
        <f t="shared" si="331"/>
        <v>3.448275862068968</v>
      </c>
      <c r="CW90" s="23">
        <f>CT90*100/CM90-100</f>
        <v>2.2727272727272663</v>
      </c>
      <c r="CX90" s="23">
        <f t="shared" si="332"/>
        <v>3.6833855799373083</v>
      </c>
      <c r="CY90" s="8"/>
      <c r="CZ90" s="20">
        <v>30</v>
      </c>
      <c r="DA90" s="10">
        <v>220</v>
      </c>
      <c r="DB90" s="11">
        <v>6600</v>
      </c>
      <c r="DC90" s="23">
        <f t="shared" si="333"/>
        <v>0</v>
      </c>
      <c r="DD90" s="23">
        <f>DA90*100/CT90-100</f>
        <v>-2.2222222222222285</v>
      </c>
      <c r="DE90" s="23">
        <f t="shared" si="334"/>
        <v>-0.22675736961451776</v>
      </c>
      <c r="DF90" s="8"/>
      <c r="DG90" s="20">
        <v>32</v>
      </c>
      <c r="DH90" s="10">
        <v>210</v>
      </c>
      <c r="DI90" s="11">
        <v>6720</v>
      </c>
      <c r="DJ90" s="23">
        <f t="shared" si="335"/>
        <v>6.666666666666671</v>
      </c>
      <c r="DK90" s="23">
        <f>DH90*100/DA90-100</f>
        <v>-4.545454545454547</v>
      </c>
      <c r="DL90" s="23">
        <f t="shared" si="336"/>
        <v>1.818181818181813</v>
      </c>
      <c r="DM90" s="8"/>
      <c r="DN90" s="20">
        <v>33</v>
      </c>
      <c r="DO90" s="10">
        <v>230</v>
      </c>
      <c r="DP90" s="11">
        <v>7590</v>
      </c>
      <c r="DQ90" s="23">
        <f t="shared" si="337"/>
        <v>3.125</v>
      </c>
      <c r="DR90" s="23">
        <f>DO90*100/DH90-100</f>
        <v>9.523809523809518</v>
      </c>
      <c r="DS90" s="23">
        <f t="shared" si="338"/>
        <v>12.94642857142857</v>
      </c>
      <c r="DT90" s="8"/>
      <c r="DU90" s="20">
        <v>30</v>
      </c>
      <c r="DV90" s="10">
        <v>230</v>
      </c>
      <c r="DW90" s="11">
        <v>6900</v>
      </c>
      <c r="DX90" s="23">
        <f t="shared" si="339"/>
        <v>-9.090909090909093</v>
      </c>
      <c r="DY90" s="23">
        <f>DV90*100/DO90-100</f>
        <v>0</v>
      </c>
      <c r="DZ90" s="23">
        <f t="shared" si="340"/>
        <v>-9.090909090909093</v>
      </c>
      <c r="EA90" s="8"/>
      <c r="EB90" s="20">
        <v>26</v>
      </c>
      <c r="EC90" s="10">
        <v>250</v>
      </c>
      <c r="ED90" s="11">
        <v>6500</v>
      </c>
      <c r="EE90" s="23">
        <f t="shared" si="341"/>
        <v>-13.333333333333329</v>
      </c>
      <c r="EF90" s="23">
        <f>EC90*100/DV90-100</f>
        <v>8.695652173913047</v>
      </c>
      <c r="EG90" s="23">
        <f t="shared" si="342"/>
        <v>-5.79710144927536</v>
      </c>
      <c r="EH90" s="8"/>
      <c r="EI90" s="20">
        <v>24</v>
      </c>
      <c r="EJ90" s="10">
        <v>230</v>
      </c>
      <c r="EK90" s="11">
        <v>5520</v>
      </c>
      <c r="EL90" s="23">
        <f t="shared" si="343"/>
        <v>-7.692307692307693</v>
      </c>
      <c r="EM90" s="23">
        <f>EJ90*100/EC90-100</f>
        <v>-8</v>
      </c>
      <c r="EN90" s="23">
        <f t="shared" si="344"/>
        <v>-15.07692307692308</v>
      </c>
      <c r="EO90" s="8"/>
      <c r="EP90" s="20">
        <v>20</v>
      </c>
      <c r="EQ90" s="10">
        <v>230</v>
      </c>
      <c r="ER90" s="11">
        <v>4600</v>
      </c>
      <c r="ES90" s="23">
        <f t="shared" si="345"/>
        <v>-16.66666666666667</v>
      </c>
      <c r="ET90" s="23">
        <f>EQ90*100/EJ90-100</f>
        <v>0</v>
      </c>
      <c r="EU90" s="23">
        <f t="shared" si="346"/>
        <v>-16.66666666666667</v>
      </c>
      <c r="EV90" s="8"/>
      <c r="EW90" s="20">
        <v>18</v>
      </c>
      <c r="EX90" s="10">
        <f aca="true" t="shared" si="377" ref="EX90:EX111">EY90/EW90</f>
        <v>240</v>
      </c>
      <c r="EY90" s="11">
        <v>4320</v>
      </c>
      <c r="EZ90" s="11">
        <v>4320</v>
      </c>
      <c r="FA90" s="23">
        <f t="shared" si="198"/>
        <v>-10</v>
      </c>
      <c r="FB90" s="23">
        <f>EX90*100/EQ90-100</f>
        <v>4.347826086956516</v>
      </c>
      <c r="FC90" s="23">
        <f t="shared" si="199"/>
        <v>-6.0869565217391255</v>
      </c>
      <c r="FD90" s="8"/>
      <c r="FE90" s="20">
        <v>15</v>
      </c>
      <c r="FF90" s="10">
        <f aca="true" t="shared" si="378" ref="FF90:FF108">FG90/FE90</f>
        <v>235</v>
      </c>
      <c r="FG90" s="11">
        <v>3525</v>
      </c>
      <c r="FH90" s="11">
        <v>3525</v>
      </c>
      <c r="FI90" s="23">
        <f aca="true" t="shared" si="379" ref="FI90:FI102">FE90*100/EW90-100</f>
        <v>-16.66666666666667</v>
      </c>
      <c r="FJ90" s="23">
        <f t="shared" si="373"/>
        <v>-2.0833333333333286</v>
      </c>
      <c r="FK90" s="23">
        <f t="shared" si="373"/>
        <v>-18.40277777777777</v>
      </c>
      <c r="FL90" s="23">
        <f aca="true" t="shared" si="380" ref="FL90:FL102">FH90*100/EZ90-100</f>
        <v>-18.40277777777777</v>
      </c>
      <c r="FM90" s="23"/>
      <c r="FN90" s="20">
        <v>13</v>
      </c>
      <c r="FO90" s="10">
        <f t="shared" si="220"/>
        <v>220</v>
      </c>
      <c r="FP90" s="11">
        <v>2860</v>
      </c>
      <c r="FQ90" s="11">
        <v>2860</v>
      </c>
      <c r="FR90" s="23">
        <f>FN90*100/FE90-100</f>
        <v>-13.333333333333329</v>
      </c>
      <c r="FS90" s="23">
        <f>FO90*100/FF90-100</f>
        <v>-6.38297872340425</v>
      </c>
      <c r="FT90" s="23">
        <f t="shared" si="368"/>
        <v>-18.865248226950357</v>
      </c>
      <c r="FU90" s="23">
        <f t="shared" si="368"/>
        <v>-18.865248226950357</v>
      </c>
      <c r="FV90" s="23"/>
      <c r="FW90" s="20">
        <v>32</v>
      </c>
      <c r="FX90" s="10">
        <f>FY90/FW90</f>
        <v>295.75</v>
      </c>
      <c r="FY90" s="20">
        <v>9464</v>
      </c>
      <c r="FZ90" s="20">
        <v>9411</v>
      </c>
      <c r="GA90" s="23">
        <f aca="true" t="shared" si="381" ref="GA90:GD91">FW90*100/FN90-100</f>
        <v>146.15384615384616</v>
      </c>
      <c r="GB90" s="23">
        <f t="shared" si="381"/>
        <v>34.43181818181819</v>
      </c>
      <c r="GC90" s="23">
        <f t="shared" si="381"/>
        <v>230.90909090909093</v>
      </c>
      <c r="GD90" s="23">
        <f t="shared" si="381"/>
        <v>229.05594405594405</v>
      </c>
      <c r="GE90" s="23"/>
      <c r="GF90" s="20">
        <v>30</v>
      </c>
      <c r="GG90" s="10">
        <f>GH90/GF90</f>
        <v>296.6666666666667</v>
      </c>
      <c r="GH90" s="20">
        <v>8900</v>
      </c>
      <c r="GI90" s="20">
        <v>8837</v>
      </c>
      <c r="GJ90" s="23">
        <f t="shared" si="300"/>
        <v>-6.25</v>
      </c>
      <c r="GK90" s="23">
        <f t="shared" si="300"/>
        <v>0.30994646379262747</v>
      </c>
      <c r="GL90" s="23">
        <f t="shared" si="363"/>
        <v>-5.959425190194423</v>
      </c>
      <c r="GM90" s="23">
        <f t="shared" si="363"/>
        <v>-6.0992455637020555</v>
      </c>
      <c r="GN90" s="23"/>
      <c r="GO90" s="20">
        <v>53</v>
      </c>
      <c r="GP90" s="10">
        <f>GQ90/GO90</f>
        <v>279.0566037735849</v>
      </c>
      <c r="GQ90" s="20">
        <v>14790</v>
      </c>
      <c r="GR90" s="20">
        <v>14514</v>
      </c>
      <c r="GS90" s="23">
        <f t="shared" si="301"/>
        <v>76.66666666666666</v>
      </c>
      <c r="GT90" s="23">
        <f t="shared" si="301"/>
        <v>-5.935976256094975</v>
      </c>
      <c r="GU90" s="23">
        <f t="shared" si="364"/>
        <v>66.17977528089887</v>
      </c>
      <c r="GV90" s="23">
        <f t="shared" si="365"/>
        <v>64.2412583455924</v>
      </c>
      <c r="GW90" s="23"/>
      <c r="GX90" s="20">
        <v>86</v>
      </c>
      <c r="GY90" s="10">
        <f>GZ90/GX90</f>
        <v>362.75581395348837</v>
      </c>
      <c r="GZ90" s="20">
        <v>31197</v>
      </c>
      <c r="HA90" s="20">
        <v>30612</v>
      </c>
      <c r="HB90" s="23">
        <f t="shared" si="302"/>
        <v>62.26415094339623</v>
      </c>
      <c r="HC90" s="23">
        <f>GY90*100/GP90-100</f>
        <v>29.993631775083742</v>
      </c>
      <c r="HD90" s="23">
        <f t="shared" si="366"/>
        <v>110.93306288032454</v>
      </c>
      <c r="HE90" s="23">
        <f t="shared" si="367"/>
        <v>110.91360066143034</v>
      </c>
      <c r="HF90" s="23"/>
      <c r="HG90" s="20">
        <v>89</v>
      </c>
      <c r="HH90" s="10">
        <f>HI90/HG90</f>
        <v>312.13483146067415</v>
      </c>
      <c r="HI90" s="20">
        <v>27780</v>
      </c>
      <c r="HJ90" s="20">
        <v>27195</v>
      </c>
      <c r="HK90" s="23">
        <f t="shared" si="304"/>
        <v>3.4883720930232585</v>
      </c>
      <c r="HL90" s="23">
        <f>HH90*100/GY90-100</f>
        <v>-13.954561318017838</v>
      </c>
      <c r="HM90" s="23">
        <f t="shared" si="375"/>
        <v>-10.952976247716123</v>
      </c>
      <c r="HN90" s="23">
        <f t="shared" si="376"/>
        <v>-11.162289298314391</v>
      </c>
      <c r="HO90" s="23"/>
      <c r="HP90" s="20">
        <v>108</v>
      </c>
      <c r="HQ90" s="10">
        <f>HR90/HP90</f>
        <v>314.81481481481484</v>
      </c>
      <c r="HR90" s="20">
        <v>34000</v>
      </c>
      <c r="HS90" s="20">
        <v>33415</v>
      </c>
      <c r="HT90" s="23">
        <f t="shared" si="306"/>
        <v>21.348314606741567</v>
      </c>
      <c r="HU90" s="23">
        <f>HQ90*100/HH90-100</f>
        <v>0.8585979788283709</v>
      </c>
      <c r="HV90" s="23">
        <f t="shared" si="370"/>
        <v>22.39020878329734</v>
      </c>
      <c r="HW90" s="23">
        <f t="shared" si="371"/>
        <v>22.871851443280008</v>
      </c>
      <c r="HX90" s="23"/>
      <c r="HY90" s="20"/>
      <c r="HZ90" s="10" t="e">
        <f>IA90/HY90</f>
        <v>#DIV/0!</v>
      </c>
      <c r="IA90" s="20"/>
      <c r="IB90" s="20"/>
      <c r="IC90" s="23">
        <f aca="true" t="shared" si="382" ref="IC90:IF91">HY90*100/HP90-100</f>
        <v>-100</v>
      </c>
      <c r="ID90" s="23" t="e">
        <f t="shared" si="382"/>
        <v>#DIV/0!</v>
      </c>
      <c r="IE90" s="23">
        <f t="shared" si="382"/>
        <v>-100</v>
      </c>
      <c r="IF90" s="23">
        <f t="shared" si="382"/>
        <v>-100</v>
      </c>
      <c r="IG90" s="23"/>
      <c r="IH90" s="1" t="s">
        <v>86</v>
      </c>
      <c r="II90" s="29">
        <f t="shared" si="357"/>
        <v>38</v>
      </c>
      <c r="IJ90" s="30">
        <f t="shared" si="358"/>
        <v>270.13639158544146</v>
      </c>
      <c r="IK90" s="29">
        <f t="shared" si="359"/>
        <v>11139.4</v>
      </c>
      <c r="IL90" s="25">
        <f t="shared" si="360"/>
        <v>184.21052631578948</v>
      </c>
      <c r="IM90" s="25">
        <f t="shared" si="361"/>
        <v>16.539209310953595</v>
      </c>
      <c r="IN90" s="25">
        <f t="shared" si="362"/>
        <v>199.97127313858914</v>
      </c>
      <c r="IP90" s="30">
        <f>HP90*100/Italia!BR90</f>
        <v>9.090909090909092</v>
      </c>
      <c r="IQ90" s="30">
        <f>HR90*100/Italia!BT90</f>
        <v>14.149863703518738</v>
      </c>
      <c r="IR90" s="30">
        <f>HS90*100/Italia!BU90</f>
        <v>14.143616008126813</v>
      </c>
    </row>
    <row r="91" spans="1:252" ht="12">
      <c r="A91" s="1" t="s">
        <v>87</v>
      </c>
      <c r="B91" s="22">
        <v>1.8</v>
      </c>
      <c r="C91" s="10">
        <v>200</v>
      </c>
      <c r="D91" s="11">
        <v>360</v>
      </c>
      <c r="E91" s="9"/>
      <c r="F91" s="22">
        <v>1.8</v>
      </c>
      <c r="G91" s="10">
        <v>200</v>
      </c>
      <c r="H91" s="11">
        <v>360</v>
      </c>
      <c r="I91" s="23">
        <f t="shared" si="349"/>
        <v>0</v>
      </c>
      <c r="J91" s="23">
        <f>G91*100/C91-100</f>
        <v>0</v>
      </c>
      <c r="K91" s="23">
        <f t="shared" si="350"/>
        <v>0</v>
      </c>
      <c r="L91" s="8"/>
      <c r="M91" s="22">
        <v>1.8</v>
      </c>
      <c r="N91" s="10">
        <f>O91/M91</f>
        <v>200</v>
      </c>
      <c r="O91" s="11">
        <v>360</v>
      </c>
      <c r="P91" s="23">
        <f t="shared" si="351"/>
        <v>0</v>
      </c>
      <c r="Q91" s="23">
        <f>N91*100/G91-100</f>
        <v>0</v>
      </c>
      <c r="R91" s="23">
        <f t="shared" si="352"/>
        <v>0</v>
      </c>
      <c r="S91" s="8"/>
      <c r="T91" s="22">
        <v>3.5</v>
      </c>
      <c r="U91" s="10">
        <f>V91/T91</f>
        <v>400</v>
      </c>
      <c r="V91" s="11">
        <v>1400</v>
      </c>
      <c r="W91" s="23">
        <f t="shared" si="311"/>
        <v>94.44444444444443</v>
      </c>
      <c r="X91" s="23">
        <f>U91*100/N91-100</f>
        <v>100</v>
      </c>
      <c r="Y91" s="23">
        <f t="shared" si="312"/>
        <v>288.8888888888889</v>
      </c>
      <c r="Z91" s="8"/>
      <c r="AA91" s="22">
        <v>4.3</v>
      </c>
      <c r="AB91" s="10">
        <f>AC91/AA91</f>
        <v>395.1162790697675</v>
      </c>
      <c r="AC91" s="11">
        <v>1699</v>
      </c>
      <c r="AD91" s="23">
        <f t="shared" si="313"/>
        <v>22.85714285714286</v>
      </c>
      <c r="AE91" s="23">
        <f>AB91*100/U91-100</f>
        <v>-1.220930232558132</v>
      </c>
      <c r="AF91" s="23">
        <f t="shared" si="314"/>
        <v>21.35714285714286</v>
      </c>
      <c r="AG91" s="8"/>
      <c r="AH91" s="22">
        <v>4.3</v>
      </c>
      <c r="AI91" s="10">
        <f>AJ91/AH91</f>
        <v>394.4186046511628</v>
      </c>
      <c r="AJ91" s="11">
        <v>1696</v>
      </c>
      <c r="AK91" s="23">
        <f t="shared" si="315"/>
        <v>0</v>
      </c>
      <c r="AL91" s="23">
        <f>AI91*100/AB91-100</f>
        <v>-0.17657445556208984</v>
      </c>
      <c r="AM91" s="23">
        <f t="shared" si="316"/>
        <v>-0.17657445556208984</v>
      </c>
      <c r="AN91" s="8"/>
      <c r="AO91" s="22">
        <v>4.25</v>
      </c>
      <c r="AP91" s="10">
        <f>AQ91/AO91</f>
        <v>395.7647058823529</v>
      </c>
      <c r="AQ91" s="11">
        <v>1682</v>
      </c>
      <c r="AR91" s="23">
        <f t="shared" si="317"/>
        <v>-1.16279069767441</v>
      </c>
      <c r="AS91" s="23">
        <f>AP91*100/AI91-100</f>
        <v>0.3412874583795684</v>
      </c>
      <c r="AT91" s="23">
        <f t="shared" si="318"/>
        <v>-0.8254716981132049</v>
      </c>
      <c r="AU91" s="8"/>
      <c r="AV91" s="22">
        <v>4.3</v>
      </c>
      <c r="AW91" s="10">
        <f>1782/AV91</f>
        <v>414.4186046511628</v>
      </c>
      <c r="AX91" s="11">
        <v>1780</v>
      </c>
      <c r="AY91" s="23">
        <f t="shared" si="319"/>
        <v>1.17647058823529</v>
      </c>
      <c r="AZ91" s="23">
        <f>AW91*100/AP91-100</f>
        <v>4.713381080109514</v>
      </c>
      <c r="BA91" s="23">
        <f t="shared" si="320"/>
        <v>5.826397146254465</v>
      </c>
      <c r="BB91" s="8"/>
      <c r="BC91" s="22">
        <v>4</v>
      </c>
      <c r="BD91" s="10">
        <f>BE91/BC91</f>
        <v>400</v>
      </c>
      <c r="BE91" s="11">
        <v>1600</v>
      </c>
      <c r="BF91" s="23">
        <f t="shared" si="321"/>
        <v>-6.976744186046503</v>
      </c>
      <c r="BG91" s="23">
        <f>BD91*100/AW91-100</f>
        <v>-3.47923681257015</v>
      </c>
      <c r="BH91" s="23">
        <f t="shared" si="322"/>
        <v>-10.112359550561791</v>
      </c>
      <c r="BI91" s="8"/>
      <c r="BJ91" s="22">
        <v>4</v>
      </c>
      <c r="BK91" s="10">
        <f>BL91/BJ91</f>
        <v>400</v>
      </c>
      <c r="BL91" s="11">
        <v>1600</v>
      </c>
      <c r="BM91" s="23">
        <f t="shared" si="353"/>
        <v>0</v>
      </c>
      <c r="BN91" s="23">
        <f>BK91*100/BD91-100</f>
        <v>0</v>
      </c>
      <c r="BO91" s="23">
        <f t="shared" si="323"/>
        <v>0</v>
      </c>
      <c r="BP91" s="8"/>
      <c r="BQ91" s="22">
        <v>3.5</v>
      </c>
      <c r="BR91" s="10">
        <f>BS91/BQ91</f>
        <v>391.42857142857144</v>
      </c>
      <c r="BS91" s="11">
        <v>1370</v>
      </c>
      <c r="BT91" s="23">
        <f t="shared" si="354"/>
        <v>-12.5</v>
      </c>
      <c r="BU91" s="23">
        <f>BR91*100/BK91-100</f>
        <v>-2.142857142857139</v>
      </c>
      <c r="BV91" s="23">
        <f t="shared" si="324"/>
        <v>-14.375</v>
      </c>
      <c r="BW91" s="8"/>
      <c r="BX91" s="22">
        <v>2.6</v>
      </c>
      <c r="BY91" s="10">
        <f>1004/BX91</f>
        <v>386.15384615384613</v>
      </c>
      <c r="BZ91" s="11">
        <v>995</v>
      </c>
      <c r="CA91" s="23">
        <f t="shared" si="325"/>
        <v>-25.714285714285708</v>
      </c>
      <c r="CB91" s="23">
        <f>BY91*100/BR91-100</f>
        <v>-1.347557551937129</v>
      </c>
      <c r="CC91" s="23">
        <f t="shared" si="326"/>
        <v>-27.372262773722625</v>
      </c>
      <c r="CD91" s="8"/>
      <c r="CE91" s="22">
        <v>2.7</v>
      </c>
      <c r="CF91" s="10">
        <f>1044/CE91</f>
        <v>386.66666666666663</v>
      </c>
      <c r="CG91" s="11">
        <v>1035</v>
      </c>
      <c r="CH91" s="23">
        <f t="shared" si="327"/>
        <v>3.8461538461538396</v>
      </c>
      <c r="CI91" s="23">
        <f>CF91*100/BY91-100</f>
        <v>0.13280212483400078</v>
      </c>
      <c r="CJ91" s="23">
        <f t="shared" si="328"/>
        <v>4.0201005025125625</v>
      </c>
      <c r="CK91" s="8"/>
      <c r="CL91" s="22">
        <v>3</v>
      </c>
      <c r="CM91" s="10">
        <f>1159/CL91</f>
        <v>386.3333333333333</v>
      </c>
      <c r="CN91" s="11">
        <v>1150</v>
      </c>
      <c r="CO91" s="23">
        <f t="shared" si="329"/>
        <v>11.1111111111111</v>
      </c>
      <c r="CP91" s="23">
        <f>CM91*100/CF91-100</f>
        <v>-0.08620689655172953</v>
      </c>
      <c r="CQ91" s="23">
        <f t="shared" si="330"/>
        <v>11.111111111111114</v>
      </c>
      <c r="CR91" s="8"/>
      <c r="CS91" s="22">
        <v>3.2</v>
      </c>
      <c r="CT91" s="10">
        <f>1239/CS91</f>
        <v>387.1875</v>
      </c>
      <c r="CU91" s="11">
        <v>1230</v>
      </c>
      <c r="CV91" s="23">
        <f t="shared" si="331"/>
        <v>6.666666666666671</v>
      </c>
      <c r="CW91" s="23">
        <f>CT91*100/CM91-100</f>
        <v>0.22109577221743848</v>
      </c>
      <c r="CX91" s="23">
        <f t="shared" si="332"/>
        <v>6.956521739130437</v>
      </c>
      <c r="CY91" s="8"/>
      <c r="CZ91" s="22">
        <v>2.7</v>
      </c>
      <c r="DA91" s="10">
        <f>1038/CZ91</f>
        <v>384.4444444444444</v>
      </c>
      <c r="DB91" s="11">
        <v>1029</v>
      </c>
      <c r="DC91" s="23">
        <f t="shared" si="333"/>
        <v>-15.625</v>
      </c>
      <c r="DD91" s="23">
        <f>DA91*100/CT91-100</f>
        <v>-0.7084566406600459</v>
      </c>
      <c r="DE91" s="23">
        <f t="shared" si="334"/>
        <v>-16.34146341463415</v>
      </c>
      <c r="DF91" s="8"/>
      <c r="DG91" s="22">
        <v>3</v>
      </c>
      <c r="DH91" s="10">
        <f>1159/DG91</f>
        <v>386.3333333333333</v>
      </c>
      <c r="DI91" s="11">
        <v>1150</v>
      </c>
      <c r="DJ91" s="23">
        <f t="shared" si="335"/>
        <v>11.1111111111111</v>
      </c>
      <c r="DK91" s="23">
        <f>DH91*100/DA91-100</f>
        <v>0.4913294797687797</v>
      </c>
      <c r="DL91" s="23">
        <f t="shared" si="336"/>
        <v>11.758989310009724</v>
      </c>
      <c r="DM91" s="8"/>
      <c r="DN91" s="22">
        <v>3.2</v>
      </c>
      <c r="DO91" s="10">
        <f>1238/DN91</f>
        <v>386.875</v>
      </c>
      <c r="DP91" s="11">
        <v>1229</v>
      </c>
      <c r="DQ91" s="23">
        <f t="shared" si="337"/>
        <v>6.666666666666671</v>
      </c>
      <c r="DR91" s="23">
        <f>DO91*100/DH91-100</f>
        <v>0.14020707506472263</v>
      </c>
      <c r="DS91" s="23">
        <f t="shared" si="338"/>
        <v>6.8695652173912976</v>
      </c>
      <c r="DT91" s="8"/>
      <c r="DU91" s="22">
        <v>3.2</v>
      </c>
      <c r="DV91" s="10">
        <f>1237/DU91</f>
        <v>386.5625</v>
      </c>
      <c r="DW91" s="11">
        <v>1228</v>
      </c>
      <c r="DX91" s="23">
        <f t="shared" si="339"/>
        <v>0</v>
      </c>
      <c r="DY91" s="23">
        <f>DV91*100/DO91-100</f>
        <v>-0.08077544426494399</v>
      </c>
      <c r="DZ91" s="23">
        <f t="shared" si="340"/>
        <v>-0.08136696501220797</v>
      </c>
      <c r="EA91" s="8"/>
      <c r="EB91" s="22">
        <v>3.7</v>
      </c>
      <c r="EC91" s="10">
        <f>1410/EB91</f>
        <v>381.08108108108104</v>
      </c>
      <c r="ED91" s="11">
        <v>1393</v>
      </c>
      <c r="EE91" s="23">
        <f t="shared" si="341"/>
        <v>15.625</v>
      </c>
      <c r="EF91" s="23">
        <f>EC91*100/DV91-100</f>
        <v>-1.4179903428084515</v>
      </c>
      <c r="EG91" s="23">
        <f t="shared" si="342"/>
        <v>13.436482084690553</v>
      </c>
      <c r="EH91" s="8"/>
      <c r="EI91" s="22">
        <v>5.8</v>
      </c>
      <c r="EJ91" s="10">
        <f>2100/EI91</f>
        <v>362.0689655172414</v>
      </c>
      <c r="EK91" s="11">
        <v>2083</v>
      </c>
      <c r="EL91" s="23">
        <f t="shared" si="343"/>
        <v>56.756756756756744</v>
      </c>
      <c r="EM91" s="23">
        <f>EJ91*100/EC91-100</f>
        <v>-4.9889948642699835</v>
      </c>
      <c r="EN91" s="23">
        <f t="shared" si="344"/>
        <v>49.533381191672646</v>
      </c>
      <c r="EO91" s="8"/>
      <c r="EP91" s="22">
        <v>11</v>
      </c>
      <c r="EQ91" s="10">
        <f>3700/EP91</f>
        <v>336.3636363636364</v>
      </c>
      <c r="ER91" s="11">
        <v>3683</v>
      </c>
      <c r="ES91" s="23">
        <f t="shared" si="345"/>
        <v>89.65517241379311</v>
      </c>
      <c r="ET91" s="23">
        <f>EQ91*100/EJ91-100</f>
        <v>-7.099567099567096</v>
      </c>
      <c r="EU91" s="23">
        <f t="shared" si="346"/>
        <v>76.81228996639462</v>
      </c>
      <c r="EV91" s="8"/>
      <c r="EW91" s="22">
        <v>9.5</v>
      </c>
      <c r="EX91" s="10">
        <f t="shared" si="377"/>
        <v>338.94736842105266</v>
      </c>
      <c r="EY91" s="11">
        <v>3220</v>
      </c>
      <c r="EZ91" s="11">
        <v>3203</v>
      </c>
      <c r="FA91" s="23">
        <f t="shared" si="198"/>
        <v>-13.63636363636364</v>
      </c>
      <c r="FB91" s="23">
        <f>EX91*100/EQ91-100</f>
        <v>0.7681365576102479</v>
      </c>
      <c r="FC91" s="23">
        <f t="shared" si="199"/>
        <v>-13.032853651914195</v>
      </c>
      <c r="FD91" s="8"/>
      <c r="FE91" s="22">
        <v>9.7</v>
      </c>
      <c r="FF91" s="10">
        <f t="shared" si="378"/>
        <v>326.80412371134025</v>
      </c>
      <c r="FG91" s="11">
        <v>3170</v>
      </c>
      <c r="FH91" s="11">
        <v>3153</v>
      </c>
      <c r="FI91" s="23">
        <f t="shared" si="379"/>
        <v>2.1052631578947256</v>
      </c>
      <c r="FJ91" s="23">
        <f t="shared" si="373"/>
        <v>-3.582634308766089</v>
      </c>
      <c r="FK91" s="23">
        <f t="shared" si="373"/>
        <v>-1.5527950310558936</v>
      </c>
      <c r="FL91" s="23">
        <f t="shared" si="380"/>
        <v>-1.5610365282547605</v>
      </c>
      <c r="FM91" s="23"/>
      <c r="FN91" s="22">
        <v>9.8</v>
      </c>
      <c r="FO91" s="10">
        <f t="shared" si="220"/>
        <v>304.0816326530612</v>
      </c>
      <c r="FP91" s="11">
        <v>2980</v>
      </c>
      <c r="FQ91" s="11">
        <v>2965</v>
      </c>
      <c r="FR91" s="23">
        <f>FN91*100/FE91-100</f>
        <v>1.0309278350515712</v>
      </c>
      <c r="FS91" s="23">
        <f>FO91*100/FF91-100</f>
        <v>-6.9529389042683505</v>
      </c>
      <c r="FT91" s="23">
        <f t="shared" si="368"/>
        <v>-5.9936908517350105</v>
      </c>
      <c r="FU91" s="23">
        <f t="shared" si="368"/>
        <v>-5.962575325087215</v>
      </c>
      <c r="FV91" s="23"/>
      <c r="FW91" s="22">
        <v>8.8</v>
      </c>
      <c r="FX91" s="10">
        <f>FY91/FW91</f>
        <v>304.5454545454545</v>
      </c>
      <c r="FY91" s="20">
        <v>2680</v>
      </c>
      <c r="FZ91" s="20">
        <v>2665</v>
      </c>
      <c r="GA91" s="23">
        <f t="shared" si="381"/>
        <v>-10.204081632653057</v>
      </c>
      <c r="GB91" s="23">
        <f t="shared" si="381"/>
        <v>0.15253203172665053</v>
      </c>
      <c r="GC91" s="23">
        <f t="shared" si="381"/>
        <v>-10.06711409395973</v>
      </c>
      <c r="GD91" s="23">
        <f t="shared" si="381"/>
        <v>-10.118043844856658</v>
      </c>
      <c r="GE91" s="23"/>
      <c r="GF91" s="22">
        <v>33.2</v>
      </c>
      <c r="GG91" s="10">
        <f>GH91/GF91</f>
        <v>379.5180722891566</v>
      </c>
      <c r="GH91" s="20">
        <v>12600</v>
      </c>
      <c r="GI91" s="20">
        <v>12585</v>
      </c>
      <c r="GJ91" s="23">
        <f t="shared" si="300"/>
        <v>277.2727272727273</v>
      </c>
      <c r="GK91" s="23">
        <f t="shared" si="300"/>
        <v>24.617874483006645</v>
      </c>
      <c r="GL91" s="23">
        <f t="shared" si="363"/>
        <v>370.14925373134326</v>
      </c>
      <c r="GM91" s="23">
        <f t="shared" si="363"/>
        <v>372.2326454033771</v>
      </c>
      <c r="GN91" s="23"/>
      <c r="GO91" s="22">
        <v>30.2</v>
      </c>
      <c r="GP91" s="10">
        <f>GQ91/GO91</f>
        <v>347.682119205298</v>
      </c>
      <c r="GQ91" s="20">
        <v>10500</v>
      </c>
      <c r="GR91" s="20">
        <v>10485</v>
      </c>
      <c r="GS91" s="23">
        <f t="shared" si="301"/>
        <v>-9.036144578313255</v>
      </c>
      <c r="GT91" s="23">
        <f t="shared" si="301"/>
        <v>-8.388520971302412</v>
      </c>
      <c r="GU91" s="23">
        <f t="shared" si="364"/>
        <v>-16.66666666666667</v>
      </c>
      <c r="GV91" s="23">
        <f t="shared" si="365"/>
        <v>-16.686531585220507</v>
      </c>
      <c r="GW91" s="23"/>
      <c r="GX91" s="22">
        <v>10.7</v>
      </c>
      <c r="GY91" s="10">
        <f>GZ91/GX91</f>
        <v>266.3551401869159</v>
      </c>
      <c r="GZ91" s="20">
        <v>2850</v>
      </c>
      <c r="HA91" s="20">
        <v>2835</v>
      </c>
      <c r="HB91" s="23">
        <f t="shared" si="302"/>
        <v>-64.56953642384106</v>
      </c>
      <c r="HC91" s="23">
        <f>GY91*100/GP91-100</f>
        <v>-23.39118825100134</v>
      </c>
      <c r="HD91" s="23">
        <f t="shared" si="366"/>
        <v>-72.85714285714286</v>
      </c>
      <c r="HE91" s="23">
        <f t="shared" si="367"/>
        <v>-72.96137339055794</v>
      </c>
      <c r="HF91" s="23"/>
      <c r="HG91" s="22">
        <v>10.3</v>
      </c>
      <c r="HH91" s="10">
        <f>HI91/HG91</f>
        <v>295.1456310679611</v>
      </c>
      <c r="HI91" s="20">
        <v>3040</v>
      </c>
      <c r="HJ91" s="20">
        <v>3025</v>
      </c>
      <c r="HK91" s="23">
        <f t="shared" si="304"/>
        <v>-3.738317757009341</v>
      </c>
      <c r="HL91" s="23">
        <f>HH91*100/GY91-100</f>
        <v>10.809061488673123</v>
      </c>
      <c r="HM91" s="23">
        <f t="shared" si="375"/>
        <v>6.666666666666671</v>
      </c>
      <c r="HN91" s="23">
        <f t="shared" si="376"/>
        <v>6.701940035273367</v>
      </c>
      <c r="HO91" s="23"/>
      <c r="HP91" s="22">
        <v>6.4</v>
      </c>
      <c r="HQ91" s="10">
        <f>HR91/HP91</f>
        <v>310.9375</v>
      </c>
      <c r="HR91" s="20">
        <v>1990</v>
      </c>
      <c r="HS91" s="20">
        <v>1975</v>
      </c>
      <c r="HT91" s="23">
        <f t="shared" si="306"/>
        <v>-37.86407766990292</v>
      </c>
      <c r="HU91" s="23">
        <f>HQ91*100/HH91-100</f>
        <v>5.350534539473699</v>
      </c>
      <c r="HV91" s="23">
        <f t="shared" si="370"/>
        <v>-34.53947368421052</v>
      </c>
      <c r="HW91" s="23">
        <f t="shared" si="371"/>
        <v>-34.710743801652896</v>
      </c>
      <c r="HX91" s="23"/>
      <c r="HY91" s="22"/>
      <c r="HZ91" s="10" t="e">
        <f>IA91/HY91</f>
        <v>#DIV/0!</v>
      </c>
      <c r="IA91" s="20"/>
      <c r="IB91" s="20"/>
      <c r="IC91" s="23">
        <f t="shared" si="382"/>
        <v>-100</v>
      </c>
      <c r="ID91" s="23" t="e">
        <f t="shared" si="382"/>
        <v>#DIV/0!</v>
      </c>
      <c r="IE91" s="23">
        <f t="shared" si="382"/>
        <v>-100</v>
      </c>
      <c r="IF91" s="23">
        <f t="shared" si="382"/>
        <v>-100</v>
      </c>
      <c r="IG91" s="23"/>
      <c r="IH91" s="1" t="s">
        <v>87</v>
      </c>
      <c r="II91" s="29">
        <f t="shared" si="357"/>
        <v>13.9</v>
      </c>
      <c r="IJ91" s="30">
        <f t="shared" si="358"/>
        <v>326.15121439611175</v>
      </c>
      <c r="IK91" s="29">
        <f t="shared" si="359"/>
        <v>4668.2</v>
      </c>
      <c r="IL91" s="25">
        <f t="shared" si="360"/>
        <v>-53.9568345323741</v>
      </c>
      <c r="IM91" s="25">
        <f t="shared" si="361"/>
        <v>-4.6646198832283545</v>
      </c>
      <c r="IN91" s="25">
        <f t="shared" si="362"/>
        <v>-57.69247247333019</v>
      </c>
      <c r="IP91" s="30">
        <f>HP91*100/Italia!BR91</f>
        <v>9.408997353719494</v>
      </c>
      <c r="IQ91" s="30">
        <f>HR91*100/Italia!BT91</f>
        <v>11.19990995047276</v>
      </c>
      <c r="IR91" s="30">
        <f>HS91*100/Italia!BU91</f>
        <v>11.232440425410909</v>
      </c>
    </row>
    <row r="92" spans="1:252" ht="12">
      <c r="A92" s="1" t="s">
        <v>88</v>
      </c>
      <c r="B92" s="19">
        <f>B91+B90</f>
        <v>32.8</v>
      </c>
      <c r="C92" s="6" t="s">
        <v>1</v>
      </c>
      <c r="D92" s="9">
        <f>D91+D90</f>
        <v>6360</v>
      </c>
      <c r="E92" s="9"/>
      <c r="F92" s="19">
        <f>F90+F91</f>
        <v>37.8</v>
      </c>
      <c r="G92" s="6" t="s">
        <v>1</v>
      </c>
      <c r="H92" s="9">
        <f>H91+H90</f>
        <v>7560</v>
      </c>
      <c r="I92" s="23">
        <f t="shared" si="349"/>
        <v>15.243902439024382</v>
      </c>
      <c r="J92" s="24" t="s">
        <v>1</v>
      </c>
      <c r="K92" s="23">
        <f t="shared" si="350"/>
        <v>18.867924528301884</v>
      </c>
      <c r="L92" s="8"/>
      <c r="M92" s="19">
        <f>M90+M91</f>
        <v>35.8</v>
      </c>
      <c r="N92" s="6" t="s">
        <v>1</v>
      </c>
      <c r="O92" s="9">
        <f>O91+O90</f>
        <v>7560</v>
      </c>
      <c r="P92" s="23">
        <f t="shared" si="351"/>
        <v>-5.291005291005291</v>
      </c>
      <c r="Q92" s="24" t="s">
        <v>1</v>
      </c>
      <c r="R92" s="23">
        <f t="shared" si="352"/>
        <v>0</v>
      </c>
      <c r="S92" s="8"/>
      <c r="T92" s="19">
        <f>T90+T91</f>
        <v>51.5</v>
      </c>
      <c r="U92" s="6" t="s">
        <v>1</v>
      </c>
      <c r="V92" s="9">
        <f>V91+V90</f>
        <v>12300</v>
      </c>
      <c r="W92" s="23">
        <f t="shared" si="311"/>
        <v>43.854748603351965</v>
      </c>
      <c r="X92" s="24" t="s">
        <v>1</v>
      </c>
      <c r="Y92" s="23">
        <f t="shared" si="312"/>
        <v>62.69841269841271</v>
      </c>
      <c r="Z92" s="8"/>
      <c r="AA92" s="19">
        <f>AA90+AA91</f>
        <v>61.3</v>
      </c>
      <c r="AB92" s="6" t="s">
        <v>1</v>
      </c>
      <c r="AC92" s="9">
        <f>AC91+AC90</f>
        <v>11499</v>
      </c>
      <c r="AD92" s="23">
        <f t="shared" si="313"/>
        <v>19.029126213592235</v>
      </c>
      <c r="AE92" s="24" t="s">
        <v>1</v>
      </c>
      <c r="AF92" s="23">
        <f t="shared" si="314"/>
        <v>-6.512195121951223</v>
      </c>
      <c r="AG92" s="8"/>
      <c r="AH92" s="19">
        <f>AH90+AH91</f>
        <v>61.3</v>
      </c>
      <c r="AI92" s="6" t="s">
        <v>1</v>
      </c>
      <c r="AJ92" s="9">
        <f>AJ91+AJ90</f>
        <v>14196</v>
      </c>
      <c r="AK92" s="23">
        <f t="shared" si="315"/>
        <v>0</v>
      </c>
      <c r="AL92" s="24" t="s">
        <v>1</v>
      </c>
      <c r="AM92" s="23">
        <f t="shared" si="316"/>
        <v>23.454213409861723</v>
      </c>
      <c r="AN92" s="8"/>
      <c r="AO92" s="19">
        <f>AO90+AO91</f>
        <v>62.25</v>
      </c>
      <c r="AP92" s="6" t="s">
        <v>1</v>
      </c>
      <c r="AQ92" s="9">
        <f>AQ91+AQ90</f>
        <v>13582</v>
      </c>
      <c r="AR92" s="23">
        <f t="shared" si="317"/>
        <v>1.5497553017944625</v>
      </c>
      <c r="AS92" s="24" t="s">
        <v>1</v>
      </c>
      <c r="AT92" s="23">
        <f t="shared" si="318"/>
        <v>-4.325162017469708</v>
      </c>
      <c r="AU92" s="8"/>
      <c r="AV92" s="19">
        <f>AV90+AV91</f>
        <v>64.3</v>
      </c>
      <c r="AW92" s="6" t="s">
        <v>1</v>
      </c>
      <c r="AX92" s="9">
        <f>AX91+AX90</f>
        <v>14480</v>
      </c>
      <c r="AY92" s="23">
        <f t="shared" si="319"/>
        <v>3.2931726907630576</v>
      </c>
      <c r="AZ92" s="24" t="s">
        <v>1</v>
      </c>
      <c r="BA92" s="23">
        <f t="shared" si="320"/>
        <v>6.611691945221622</v>
      </c>
      <c r="BB92" s="8"/>
      <c r="BC92" s="19">
        <f>BC90+BC91</f>
        <v>52</v>
      </c>
      <c r="BD92" s="6" t="s">
        <v>1</v>
      </c>
      <c r="BE92" s="9">
        <f>BE91+BE90</f>
        <v>11680</v>
      </c>
      <c r="BF92" s="23">
        <f t="shared" si="321"/>
        <v>-19.129082426127525</v>
      </c>
      <c r="BG92" s="24" t="s">
        <v>1</v>
      </c>
      <c r="BH92" s="23">
        <f t="shared" si="322"/>
        <v>-19.337016574585633</v>
      </c>
      <c r="BI92" s="8"/>
      <c r="BJ92" s="19">
        <f>BJ90+BJ91</f>
        <v>53</v>
      </c>
      <c r="BK92" s="6" t="s">
        <v>1</v>
      </c>
      <c r="BL92" s="9">
        <f>BL91+BL90</f>
        <v>11841</v>
      </c>
      <c r="BM92" s="23">
        <f t="shared" si="353"/>
        <v>1.9230769230769198</v>
      </c>
      <c r="BN92" s="24" t="s">
        <v>1</v>
      </c>
      <c r="BO92" s="23">
        <f t="shared" si="323"/>
        <v>1.3784246575342536</v>
      </c>
      <c r="BP92" s="8"/>
      <c r="BQ92" s="19">
        <f>BQ90+BQ91</f>
        <v>51.5</v>
      </c>
      <c r="BR92" s="6" t="s">
        <v>1</v>
      </c>
      <c r="BS92" s="9">
        <f>BS91+BS90</f>
        <v>11450</v>
      </c>
      <c r="BT92" s="23">
        <f t="shared" si="354"/>
        <v>-2.830188679245282</v>
      </c>
      <c r="BU92" s="24" t="s">
        <v>1</v>
      </c>
      <c r="BV92" s="23">
        <f t="shared" si="324"/>
        <v>-3.3020859724685465</v>
      </c>
      <c r="BW92" s="8"/>
      <c r="BX92" s="19">
        <f>BX90+BX91</f>
        <v>45.6</v>
      </c>
      <c r="BY92" s="6" t="s">
        <v>1</v>
      </c>
      <c r="BZ92" s="9">
        <f>BZ91+BZ90</f>
        <v>10025</v>
      </c>
      <c r="CA92" s="23">
        <f t="shared" si="325"/>
        <v>-11.456310679611647</v>
      </c>
      <c r="CB92" s="24" t="s">
        <v>1</v>
      </c>
      <c r="CC92" s="23">
        <f t="shared" si="326"/>
        <v>-12.445414847161572</v>
      </c>
      <c r="CD92" s="8"/>
      <c r="CE92" s="19">
        <f>CE90+CE91</f>
        <v>46.7</v>
      </c>
      <c r="CF92" s="6" t="s">
        <v>1</v>
      </c>
      <c r="CG92" s="9">
        <f>CG91+CG90</f>
        <v>10565</v>
      </c>
      <c r="CH92" s="23">
        <f t="shared" si="327"/>
        <v>2.4122807017543835</v>
      </c>
      <c r="CI92" s="24" t="s">
        <v>1</v>
      </c>
      <c r="CJ92" s="23">
        <f t="shared" si="328"/>
        <v>5.386533665835415</v>
      </c>
      <c r="CK92" s="8"/>
      <c r="CL92" s="19">
        <f>CL90+CL91</f>
        <v>32</v>
      </c>
      <c r="CM92" s="6" t="s">
        <v>1</v>
      </c>
      <c r="CN92" s="9">
        <f>CN91+CN90</f>
        <v>7530</v>
      </c>
      <c r="CO92" s="23">
        <f t="shared" si="329"/>
        <v>-31.477516059957182</v>
      </c>
      <c r="CP92" s="24" t="s">
        <v>1</v>
      </c>
      <c r="CQ92" s="23">
        <f t="shared" si="330"/>
        <v>-28.726928537624232</v>
      </c>
      <c r="CR92" s="8"/>
      <c r="CS92" s="19">
        <f>CS90+CS91</f>
        <v>33.2</v>
      </c>
      <c r="CT92" s="6" t="s">
        <v>1</v>
      </c>
      <c r="CU92" s="9">
        <f>CU91+CU90</f>
        <v>7845</v>
      </c>
      <c r="CV92" s="23">
        <f t="shared" si="331"/>
        <v>3.750000000000014</v>
      </c>
      <c r="CW92" s="24" t="s">
        <v>1</v>
      </c>
      <c r="CX92" s="23">
        <f t="shared" si="332"/>
        <v>4.183266932270911</v>
      </c>
      <c r="CY92" s="8"/>
      <c r="CZ92" s="19">
        <f>CZ90+CZ91</f>
        <v>32.7</v>
      </c>
      <c r="DA92" s="6" t="s">
        <v>1</v>
      </c>
      <c r="DB92" s="9">
        <f>DB91+DB90</f>
        <v>7629</v>
      </c>
      <c r="DC92" s="23">
        <f t="shared" si="333"/>
        <v>-1.5060240963855307</v>
      </c>
      <c r="DD92" s="24" t="s">
        <v>1</v>
      </c>
      <c r="DE92" s="23">
        <f t="shared" si="334"/>
        <v>-2.7533460803059313</v>
      </c>
      <c r="DF92" s="8"/>
      <c r="DG92" s="19">
        <f>DG90+DG91</f>
        <v>35</v>
      </c>
      <c r="DH92" s="6" t="s">
        <v>1</v>
      </c>
      <c r="DI92" s="9">
        <f>DI91+DI90</f>
        <v>7870</v>
      </c>
      <c r="DJ92" s="23">
        <f t="shared" si="335"/>
        <v>7.0336391437308805</v>
      </c>
      <c r="DK92" s="24" t="s">
        <v>1</v>
      </c>
      <c r="DL92" s="23">
        <f t="shared" si="336"/>
        <v>3.158998558133433</v>
      </c>
      <c r="DM92" s="8"/>
      <c r="DN92" s="19">
        <f>DN90+DN91</f>
        <v>36.2</v>
      </c>
      <c r="DO92" s="6" t="s">
        <v>1</v>
      </c>
      <c r="DP92" s="9">
        <f>DP91+DP90</f>
        <v>8819</v>
      </c>
      <c r="DQ92" s="23">
        <f t="shared" si="337"/>
        <v>3.428571428571445</v>
      </c>
      <c r="DR92" s="24" t="s">
        <v>1</v>
      </c>
      <c r="DS92" s="23">
        <f t="shared" si="338"/>
        <v>12.058449809402802</v>
      </c>
      <c r="DT92" s="8"/>
      <c r="DU92" s="19">
        <f>DU90+DU91</f>
        <v>33.2</v>
      </c>
      <c r="DV92" s="6" t="s">
        <v>1</v>
      </c>
      <c r="DW92" s="9">
        <f>DW91+DW90</f>
        <v>8128</v>
      </c>
      <c r="DX92" s="23">
        <f t="shared" si="339"/>
        <v>-8.287292817679557</v>
      </c>
      <c r="DY92" s="24" t="s">
        <v>1</v>
      </c>
      <c r="DZ92" s="23">
        <f t="shared" si="340"/>
        <v>-7.835355482481006</v>
      </c>
      <c r="EA92" s="8"/>
      <c r="EB92" s="19">
        <f>EB90+EB91</f>
        <v>29.7</v>
      </c>
      <c r="EC92" s="6" t="s">
        <v>1</v>
      </c>
      <c r="ED92" s="9">
        <f>ED91+ED90</f>
        <v>7893</v>
      </c>
      <c r="EE92" s="23">
        <f t="shared" si="341"/>
        <v>-10.5421686746988</v>
      </c>
      <c r="EF92" s="24" t="s">
        <v>1</v>
      </c>
      <c r="EG92" s="23">
        <f t="shared" si="342"/>
        <v>-2.8912401574803113</v>
      </c>
      <c r="EH92" s="8"/>
      <c r="EI92" s="19">
        <f>EI90+EI91</f>
        <v>29.8</v>
      </c>
      <c r="EJ92" s="6" t="s">
        <v>1</v>
      </c>
      <c r="EK92" s="9">
        <f>EK91+EK90</f>
        <v>7603</v>
      </c>
      <c r="EL92" s="23">
        <f t="shared" si="343"/>
        <v>0.33670033670033206</v>
      </c>
      <c r="EM92" s="24" t="s">
        <v>1</v>
      </c>
      <c r="EN92" s="23">
        <f t="shared" si="344"/>
        <v>-3.6741416444951227</v>
      </c>
      <c r="EO92" s="8"/>
      <c r="EP92" s="19">
        <f>EP90+EP91</f>
        <v>31</v>
      </c>
      <c r="EQ92" s="6" t="s">
        <v>1</v>
      </c>
      <c r="ER92" s="9">
        <f>ER91+ER90</f>
        <v>8283</v>
      </c>
      <c r="ES92" s="23">
        <f t="shared" si="345"/>
        <v>4.0268456375838895</v>
      </c>
      <c r="ET92" s="24" t="s">
        <v>1</v>
      </c>
      <c r="EU92" s="23">
        <f t="shared" si="346"/>
        <v>8.943837958700513</v>
      </c>
      <c r="EV92" s="8"/>
      <c r="EW92" s="19">
        <f>EW90+EW91</f>
        <v>27.5</v>
      </c>
      <c r="EX92" s="10">
        <f t="shared" si="377"/>
        <v>274.1818181818182</v>
      </c>
      <c r="EY92" s="9">
        <f>EY91+EY90</f>
        <v>7540</v>
      </c>
      <c r="EZ92" s="9">
        <f>EZ91+EZ90</f>
        <v>7523</v>
      </c>
      <c r="FA92" s="23">
        <f t="shared" si="198"/>
        <v>-11.290322580645167</v>
      </c>
      <c r="FB92" s="24" t="s">
        <v>1</v>
      </c>
      <c r="FC92" s="23">
        <f t="shared" si="199"/>
        <v>-9.175419533985277</v>
      </c>
      <c r="FD92" s="8"/>
      <c r="FE92" s="19">
        <f>FE90+FE91</f>
        <v>24.7</v>
      </c>
      <c r="FF92" s="10">
        <f t="shared" si="378"/>
        <v>271.0526315789474</v>
      </c>
      <c r="FG92" s="9">
        <f>FG91+FG90</f>
        <v>6695</v>
      </c>
      <c r="FH92" s="9">
        <f>FH91+FH90</f>
        <v>6678</v>
      </c>
      <c r="FI92" s="23">
        <f t="shared" si="379"/>
        <v>-10.181818181818187</v>
      </c>
      <c r="FJ92" s="23">
        <f t="shared" si="373"/>
        <v>-1.141281585927672</v>
      </c>
      <c r="FK92" s="23">
        <f t="shared" si="373"/>
        <v>-11.206896551724142</v>
      </c>
      <c r="FL92" s="23">
        <f t="shared" si="380"/>
        <v>-11.232221188355709</v>
      </c>
      <c r="FM92" s="23"/>
      <c r="FN92" s="19">
        <f>FN90+FN91</f>
        <v>22.8</v>
      </c>
      <c r="FO92" s="6" t="s">
        <v>1</v>
      </c>
      <c r="FP92" s="19">
        <f>FP90+FP91</f>
        <v>5840</v>
      </c>
      <c r="FQ92" s="9">
        <f>FQ91+FQ90</f>
        <v>5825</v>
      </c>
      <c r="FR92" s="24" t="s">
        <v>1</v>
      </c>
      <c r="FS92" s="24" t="s">
        <v>1</v>
      </c>
      <c r="FT92" s="23">
        <f t="shared" si="368"/>
        <v>-12.770724421209863</v>
      </c>
      <c r="FU92" s="23">
        <f t="shared" si="368"/>
        <v>-12.773285414794856</v>
      </c>
      <c r="FV92" s="23"/>
      <c r="FW92" s="36">
        <f>FW90+FW91</f>
        <v>40.8</v>
      </c>
      <c r="FX92" s="6" t="s">
        <v>1</v>
      </c>
      <c r="FY92" s="19">
        <f>FY90+FY91</f>
        <v>12144</v>
      </c>
      <c r="FZ92" s="19">
        <f>FZ90+FZ91</f>
        <v>12076</v>
      </c>
      <c r="GA92" s="24" t="s">
        <v>1</v>
      </c>
      <c r="GB92" s="24" t="s">
        <v>1</v>
      </c>
      <c r="GC92" s="24" t="s">
        <v>1</v>
      </c>
      <c r="GD92" s="24" t="s">
        <v>1</v>
      </c>
      <c r="GE92" s="23"/>
      <c r="GF92" s="19">
        <f>GF90+GF91</f>
        <v>63.2</v>
      </c>
      <c r="GG92" s="6" t="s">
        <v>1</v>
      </c>
      <c r="GH92" s="19">
        <f>GH90+GH91</f>
        <v>21500</v>
      </c>
      <c r="GI92" s="19">
        <f>GI90+GI91</f>
        <v>21422</v>
      </c>
      <c r="GJ92" s="23">
        <f t="shared" si="300"/>
        <v>54.90196078431373</v>
      </c>
      <c r="GK92" s="24" t="s">
        <v>1</v>
      </c>
      <c r="GL92" s="23">
        <f t="shared" si="363"/>
        <v>77.0421607378129</v>
      </c>
      <c r="GM92" s="23">
        <f t="shared" si="363"/>
        <v>77.39317654852601</v>
      </c>
      <c r="GN92" s="23"/>
      <c r="GO92" s="19">
        <f>GO90+GO91</f>
        <v>83.2</v>
      </c>
      <c r="GP92" s="6" t="s">
        <v>1</v>
      </c>
      <c r="GQ92" s="20">
        <f>GQ90+GQ91</f>
        <v>25290</v>
      </c>
      <c r="GR92" s="20">
        <f>GR90+GR91</f>
        <v>24999</v>
      </c>
      <c r="GS92" s="23">
        <f t="shared" si="301"/>
        <v>31.645569620253156</v>
      </c>
      <c r="GT92" s="24" t="s">
        <v>1</v>
      </c>
      <c r="GU92" s="23">
        <f t="shared" si="364"/>
        <v>17.627906976744185</v>
      </c>
      <c r="GV92" s="23">
        <f t="shared" si="365"/>
        <v>16.697787321445247</v>
      </c>
      <c r="GW92" s="23"/>
      <c r="GX92" s="19">
        <f>GX90+GX91</f>
        <v>96.7</v>
      </c>
      <c r="GY92" s="6" t="s">
        <v>1</v>
      </c>
      <c r="GZ92" s="19">
        <f>GZ90+GZ91</f>
        <v>34047</v>
      </c>
      <c r="HA92" s="19">
        <f>HA90+HA91</f>
        <v>33447</v>
      </c>
      <c r="HB92" s="23">
        <f t="shared" si="302"/>
        <v>16.225961538461533</v>
      </c>
      <c r="HC92" s="24" t="s">
        <v>1</v>
      </c>
      <c r="HD92" s="23">
        <f t="shared" si="366"/>
        <v>34.626334519572964</v>
      </c>
      <c r="HE92" s="23">
        <f t="shared" si="367"/>
        <v>33.793351734069375</v>
      </c>
      <c r="HF92" s="23"/>
      <c r="HG92" s="19">
        <f>HG90+HG91</f>
        <v>99.3</v>
      </c>
      <c r="HH92" s="6" t="s">
        <v>1</v>
      </c>
      <c r="HI92" s="19">
        <f>HI90+HI91</f>
        <v>30820</v>
      </c>
      <c r="HJ92" s="19">
        <f>HJ90+HJ91</f>
        <v>30220</v>
      </c>
      <c r="HK92" s="23">
        <f t="shared" si="304"/>
        <v>2.688728024819028</v>
      </c>
      <c r="HL92" s="24" t="s">
        <v>1</v>
      </c>
      <c r="HM92" s="23">
        <f t="shared" si="375"/>
        <v>-9.478074426528039</v>
      </c>
      <c r="HN92" s="23">
        <f t="shared" si="376"/>
        <v>-9.648099979071361</v>
      </c>
      <c r="HO92" s="23"/>
      <c r="HP92" s="19">
        <f>HP90+HP91</f>
        <v>114.4</v>
      </c>
      <c r="HQ92" s="6" t="s">
        <v>1</v>
      </c>
      <c r="HR92" s="19">
        <f>HR90+HR91</f>
        <v>35990</v>
      </c>
      <c r="HS92" s="19">
        <f>HS90+HS91</f>
        <v>35390</v>
      </c>
      <c r="HT92" s="23">
        <f t="shared" si="306"/>
        <v>15.20644511581068</v>
      </c>
      <c r="HU92" s="24" t="s">
        <v>1</v>
      </c>
      <c r="HV92" s="23">
        <f t="shared" si="370"/>
        <v>16.774821544451655</v>
      </c>
      <c r="HW92" s="23">
        <f t="shared" si="371"/>
        <v>17.107875579086695</v>
      </c>
      <c r="HX92" s="23"/>
      <c r="HY92" s="19">
        <f>HY90+HY91</f>
        <v>0</v>
      </c>
      <c r="HZ92" s="6" t="s">
        <v>1</v>
      </c>
      <c r="IA92" s="19">
        <f>IA90+IA91</f>
        <v>0</v>
      </c>
      <c r="IB92" s="19">
        <f>IB90+IB91</f>
        <v>0</v>
      </c>
      <c r="IC92" s="23">
        <f>HY92*100/HP92-100</f>
        <v>-100</v>
      </c>
      <c r="ID92" s="24" t="s">
        <v>1</v>
      </c>
      <c r="IE92" s="23">
        <f aca="true" t="shared" si="383" ref="IE92:IE102">IA92*100/HR92-100</f>
        <v>-100</v>
      </c>
      <c r="IF92" s="23">
        <f aca="true" t="shared" si="384" ref="IF92:IF102">IB92*100/HS92-100</f>
        <v>-100</v>
      </c>
      <c r="IG92" s="23"/>
      <c r="IH92" s="1" t="s">
        <v>88</v>
      </c>
      <c r="II92" s="29">
        <f t="shared" si="357"/>
        <v>51.9</v>
      </c>
      <c r="IJ92" s="30">
        <f t="shared" si="358"/>
        <v>272.61722488038276</v>
      </c>
      <c r="IK92" s="29">
        <f t="shared" si="359"/>
        <v>15807.6</v>
      </c>
      <c r="IL92" s="25">
        <f t="shared" si="360"/>
        <v>120.42389210019269</v>
      </c>
      <c r="IM92" s="25">
        <f t="shared" si="361"/>
        <v>-100</v>
      </c>
      <c r="IN92" s="25">
        <f t="shared" si="362"/>
        <v>123.8796528252233</v>
      </c>
      <c r="IP92" s="30">
        <f>HP92*100/Italia!BR92</f>
        <v>9.10813522077674</v>
      </c>
      <c r="IQ92" s="30">
        <f>HR92*100/Italia!BT92</f>
        <v>13.946747373601546</v>
      </c>
      <c r="IR92" s="30">
        <f>HS92*100/Italia!BU92</f>
        <v>13.941962984265555</v>
      </c>
    </row>
    <row r="93" spans="1:252" ht="12">
      <c r="A93" s="1" t="s">
        <v>89</v>
      </c>
      <c r="B93" s="20">
        <v>332</v>
      </c>
      <c r="C93" s="10">
        <v>213.2</v>
      </c>
      <c r="D93" s="11">
        <v>58300</v>
      </c>
      <c r="E93" s="9"/>
      <c r="F93" s="20">
        <v>348</v>
      </c>
      <c r="G93" s="10">
        <f>76585/F93</f>
        <v>220.07183908045977</v>
      </c>
      <c r="H93" s="11">
        <v>74800</v>
      </c>
      <c r="I93" s="23">
        <f t="shared" si="349"/>
        <v>4.819277108433738</v>
      </c>
      <c r="J93" s="23">
        <f>G93*100/C93-100</f>
        <v>3.22318906212935</v>
      </c>
      <c r="K93" s="23">
        <f t="shared" si="350"/>
        <v>28.30188679245282</v>
      </c>
      <c r="L93" s="8"/>
      <c r="M93" s="20">
        <v>500</v>
      </c>
      <c r="N93" s="10">
        <v>168.8</v>
      </c>
      <c r="O93" s="11">
        <v>84400</v>
      </c>
      <c r="P93" s="23">
        <f t="shared" si="351"/>
        <v>43.67816091954023</v>
      </c>
      <c r="Q93" s="23">
        <f>N93*100/G93-100</f>
        <v>-23.297773715479536</v>
      </c>
      <c r="R93" s="23">
        <f t="shared" si="352"/>
        <v>12.834224598930476</v>
      </c>
      <c r="S93" s="8"/>
      <c r="T93" s="20">
        <v>1264</v>
      </c>
      <c r="U93" s="10">
        <v>77.5</v>
      </c>
      <c r="V93" s="11">
        <v>98000</v>
      </c>
      <c r="W93" s="23">
        <f t="shared" si="311"/>
        <v>152.8</v>
      </c>
      <c r="X93" s="23">
        <f>U93*100/N93-100</f>
        <v>-54.08767772511849</v>
      </c>
      <c r="Y93" s="23">
        <f t="shared" si="312"/>
        <v>16.113744075829388</v>
      </c>
      <c r="Z93" s="8"/>
      <c r="AA93" s="20">
        <v>942</v>
      </c>
      <c r="AB93" s="10">
        <f>143495/AA93</f>
        <v>152.33014861995753</v>
      </c>
      <c r="AC93" s="11">
        <v>115600</v>
      </c>
      <c r="AD93" s="23">
        <f t="shared" si="313"/>
        <v>-25.4746835443038</v>
      </c>
      <c r="AE93" s="23">
        <f>AB93*100/U93-100</f>
        <v>96.55503047736454</v>
      </c>
      <c r="AF93" s="23">
        <f t="shared" si="314"/>
        <v>17.959183673469383</v>
      </c>
      <c r="AG93" s="8"/>
      <c r="AH93" s="20">
        <v>945</v>
      </c>
      <c r="AI93" s="10">
        <v>151.8</v>
      </c>
      <c r="AJ93" s="11">
        <v>137700</v>
      </c>
      <c r="AK93" s="23">
        <f t="shared" si="315"/>
        <v>0.31847133757962354</v>
      </c>
      <c r="AL93" s="23">
        <f>AI93*100/AB93-100</f>
        <v>-0.3480260636258947</v>
      </c>
      <c r="AM93" s="23">
        <f t="shared" si="316"/>
        <v>19.117647058823536</v>
      </c>
      <c r="AN93" s="8"/>
      <c r="AO93" s="20">
        <v>1089</v>
      </c>
      <c r="AP93" s="10">
        <v>141</v>
      </c>
      <c r="AQ93" s="11">
        <v>142500</v>
      </c>
      <c r="AR93" s="23">
        <f t="shared" si="317"/>
        <v>15.23809523809524</v>
      </c>
      <c r="AS93" s="23">
        <f>AP93*100/AI93-100</f>
        <v>-7.114624505928859</v>
      </c>
      <c r="AT93" s="23">
        <f t="shared" si="318"/>
        <v>3.485838779956424</v>
      </c>
      <c r="AU93" s="8"/>
      <c r="AV93" s="20">
        <v>1094</v>
      </c>
      <c r="AW93" s="10">
        <v>195.5</v>
      </c>
      <c r="AX93" s="11">
        <v>195597</v>
      </c>
      <c r="AY93" s="23">
        <f t="shared" si="319"/>
        <v>0.4591368227731891</v>
      </c>
      <c r="AZ93" s="23">
        <f>AW93*100/AP93-100</f>
        <v>38.65248226950354</v>
      </c>
      <c r="BA93" s="23">
        <f t="shared" si="320"/>
        <v>37.261052631578934</v>
      </c>
      <c r="BB93" s="8"/>
      <c r="BC93" s="20">
        <v>938</v>
      </c>
      <c r="BD93" s="10">
        <v>153.4</v>
      </c>
      <c r="BE93" s="11">
        <v>131930</v>
      </c>
      <c r="BF93" s="23">
        <f t="shared" si="321"/>
        <v>-14.259597806215723</v>
      </c>
      <c r="BG93" s="23">
        <f>BD93*100/AW93-100</f>
        <v>-21.534526854219948</v>
      </c>
      <c r="BH93" s="23">
        <f t="shared" si="322"/>
        <v>-32.55009023655782</v>
      </c>
      <c r="BI93" s="8"/>
      <c r="BJ93" s="20">
        <v>900</v>
      </c>
      <c r="BK93" s="10">
        <v>202.04</v>
      </c>
      <c r="BL93" s="11">
        <v>169004</v>
      </c>
      <c r="BM93" s="23">
        <f t="shared" si="353"/>
        <v>-4.051172707889123</v>
      </c>
      <c r="BN93" s="23">
        <f>BK93*100/BD93-100</f>
        <v>31.70795306388527</v>
      </c>
      <c r="BO93" s="23">
        <f t="shared" si="323"/>
        <v>28.101265822784796</v>
      </c>
      <c r="BP93" s="8"/>
      <c r="BQ93" s="20">
        <v>794</v>
      </c>
      <c r="BR93" s="10">
        <v>171.9</v>
      </c>
      <c r="BS93" s="11">
        <v>130107</v>
      </c>
      <c r="BT93" s="23">
        <f t="shared" si="354"/>
        <v>-11.777777777777771</v>
      </c>
      <c r="BU93" s="23">
        <f>BR93*100/BK93-100</f>
        <v>-14.917838051870916</v>
      </c>
      <c r="BV93" s="23">
        <f t="shared" si="324"/>
        <v>-23.01543158741805</v>
      </c>
      <c r="BW93" s="8"/>
      <c r="BX93" s="20">
        <v>716</v>
      </c>
      <c r="BY93" s="10">
        <v>183.6</v>
      </c>
      <c r="BZ93" s="11">
        <v>94603</v>
      </c>
      <c r="CA93" s="23">
        <f t="shared" si="325"/>
        <v>-9.823677581863976</v>
      </c>
      <c r="CB93" s="23">
        <f>BY93*100/BR93-100</f>
        <v>6.806282722513089</v>
      </c>
      <c r="CC93" s="23">
        <f t="shared" si="326"/>
        <v>-27.288308853482135</v>
      </c>
      <c r="CD93" s="8"/>
      <c r="CE93" s="20">
        <v>672</v>
      </c>
      <c r="CF93" s="10">
        <v>167.9</v>
      </c>
      <c r="CG93" s="11">
        <v>100461</v>
      </c>
      <c r="CH93" s="23">
        <f t="shared" si="327"/>
        <v>-6.1452513966480495</v>
      </c>
      <c r="CI93" s="23">
        <f>CF93*100/BY93-100</f>
        <v>-8.551198257080614</v>
      </c>
      <c r="CJ93" s="23">
        <f t="shared" si="328"/>
        <v>6.192192636597142</v>
      </c>
      <c r="CK93" s="8"/>
      <c r="CL93" s="20">
        <v>745</v>
      </c>
      <c r="CM93" s="10">
        <v>178.8</v>
      </c>
      <c r="CN93" s="11">
        <v>130701</v>
      </c>
      <c r="CO93" s="23">
        <f t="shared" si="329"/>
        <v>10.86309523809524</v>
      </c>
      <c r="CP93" s="23">
        <f>CM93*100/CF93-100</f>
        <v>6.4919594997022045</v>
      </c>
      <c r="CQ93" s="23">
        <f t="shared" si="330"/>
        <v>30.10123331442051</v>
      </c>
      <c r="CR93" s="8"/>
      <c r="CS93" s="20">
        <v>807</v>
      </c>
      <c r="CT93" s="10">
        <v>196.6</v>
      </c>
      <c r="CU93" s="11">
        <v>156375</v>
      </c>
      <c r="CV93" s="23">
        <f t="shared" si="331"/>
        <v>8.322147651006716</v>
      </c>
      <c r="CW93" s="23">
        <f>CT93*100/CM93-100</f>
        <v>9.955257270693508</v>
      </c>
      <c r="CX93" s="23">
        <f t="shared" si="332"/>
        <v>19.64330800835495</v>
      </c>
      <c r="CY93" s="8"/>
      <c r="CZ93" s="20">
        <v>807</v>
      </c>
      <c r="DA93" s="10">
        <v>182</v>
      </c>
      <c r="DB93" s="11">
        <v>144590</v>
      </c>
      <c r="DC93" s="23">
        <f t="shared" si="333"/>
        <v>0</v>
      </c>
      <c r="DD93" s="23">
        <f>DA93*100/CT93-100</f>
        <v>-7.426246185147505</v>
      </c>
      <c r="DE93" s="23">
        <f t="shared" si="334"/>
        <v>-7.536370903277373</v>
      </c>
      <c r="DF93" s="8"/>
      <c r="DG93" s="20">
        <v>810</v>
      </c>
      <c r="DH93" s="10">
        <v>232.81</v>
      </c>
      <c r="DI93" s="11">
        <v>186920</v>
      </c>
      <c r="DJ93" s="23">
        <f t="shared" si="335"/>
        <v>0.371747211895908</v>
      </c>
      <c r="DK93" s="23">
        <f>DH93*100/DA93-100</f>
        <v>27.917582417582423</v>
      </c>
      <c r="DL93" s="23">
        <f t="shared" si="336"/>
        <v>29.27588353274777</v>
      </c>
      <c r="DM93" s="8"/>
      <c r="DN93" s="20">
        <v>802</v>
      </c>
      <c r="DO93" s="10">
        <v>288.9</v>
      </c>
      <c r="DP93" s="11">
        <v>211805</v>
      </c>
      <c r="DQ93" s="23">
        <f t="shared" si="337"/>
        <v>-0.9876543209876587</v>
      </c>
      <c r="DR93" s="23">
        <f>DO93*100/DH93-100</f>
        <v>24.092607705854547</v>
      </c>
      <c r="DS93" s="23">
        <f t="shared" si="338"/>
        <v>13.313182109993576</v>
      </c>
      <c r="DT93" s="8"/>
      <c r="DU93" s="20">
        <v>730</v>
      </c>
      <c r="DV93" s="10">
        <v>181.3</v>
      </c>
      <c r="DW93" s="11">
        <v>130806</v>
      </c>
      <c r="DX93" s="23">
        <f t="shared" si="339"/>
        <v>-8.977556109725683</v>
      </c>
      <c r="DY93" s="23">
        <f>DV93*100/DO93-100</f>
        <v>-37.24472135687088</v>
      </c>
      <c r="DZ93" s="23">
        <f t="shared" si="340"/>
        <v>-38.24225112721607</v>
      </c>
      <c r="EA93" s="8"/>
      <c r="EB93" s="20">
        <v>784</v>
      </c>
      <c r="EC93" s="10">
        <v>194.5</v>
      </c>
      <c r="ED93" s="11">
        <v>150910</v>
      </c>
      <c r="EE93" s="23">
        <f t="shared" si="341"/>
        <v>7.397260273972606</v>
      </c>
      <c r="EF93" s="23">
        <f>EC93*100/DV93-100</f>
        <v>7.280750137892994</v>
      </c>
      <c r="EG93" s="23">
        <f t="shared" si="342"/>
        <v>15.36932556610553</v>
      </c>
      <c r="EH93" s="8"/>
      <c r="EI93" s="20">
        <v>795</v>
      </c>
      <c r="EJ93" s="10">
        <v>190.8</v>
      </c>
      <c r="EK93" s="11">
        <v>149990</v>
      </c>
      <c r="EL93" s="23">
        <f t="shared" si="343"/>
        <v>1.4030612244897895</v>
      </c>
      <c r="EM93" s="23">
        <f>EJ93*100/EC93-100</f>
        <v>-1.9023136246786692</v>
      </c>
      <c r="EN93" s="23">
        <f t="shared" si="344"/>
        <v>-0.6096348817175823</v>
      </c>
      <c r="EO93" s="8"/>
      <c r="EP93" s="20">
        <v>892</v>
      </c>
      <c r="EQ93" s="10">
        <v>201.3</v>
      </c>
      <c r="ER93" s="11">
        <v>177620</v>
      </c>
      <c r="ES93" s="23">
        <f t="shared" si="345"/>
        <v>12.201257861635227</v>
      </c>
      <c r="ET93" s="23">
        <f>EQ93*100/EJ93-100</f>
        <v>5.503144654088047</v>
      </c>
      <c r="EU93" s="23">
        <f t="shared" si="346"/>
        <v>18.42122808187213</v>
      </c>
      <c r="EV93" s="8"/>
      <c r="EW93" s="20">
        <v>943</v>
      </c>
      <c r="EX93" s="10">
        <f t="shared" si="377"/>
        <v>167.3594909862142</v>
      </c>
      <c r="EY93" s="11">
        <v>157820</v>
      </c>
      <c r="EZ93" s="11">
        <v>155638</v>
      </c>
      <c r="FA93" s="23">
        <f t="shared" si="198"/>
        <v>5.717488789237663</v>
      </c>
      <c r="FB93" s="23">
        <f>EX93*100/EQ93-100</f>
        <v>-16.86066021549219</v>
      </c>
      <c r="FC93" s="23">
        <f t="shared" si="199"/>
        <v>-12.375858574484852</v>
      </c>
      <c r="FD93" s="8"/>
      <c r="FE93" s="20">
        <v>885</v>
      </c>
      <c r="FF93" s="10">
        <f t="shared" si="378"/>
        <v>191.56158192090396</v>
      </c>
      <c r="FG93" s="11">
        <v>169532</v>
      </c>
      <c r="FH93" s="11">
        <v>167068</v>
      </c>
      <c r="FI93" s="23">
        <f t="shared" si="379"/>
        <v>-6.150583244962888</v>
      </c>
      <c r="FJ93" s="23">
        <f t="shared" si="373"/>
        <v>14.46114038234218</v>
      </c>
      <c r="FK93" s="23">
        <f t="shared" si="373"/>
        <v>7.421112659992403</v>
      </c>
      <c r="FL93" s="23">
        <f t="shared" si="380"/>
        <v>7.343964841491157</v>
      </c>
      <c r="FM93" s="23"/>
      <c r="FN93" s="20">
        <v>948</v>
      </c>
      <c r="FO93" s="10">
        <f t="shared" si="220"/>
        <v>208.75105485232066</v>
      </c>
      <c r="FP93" s="11">
        <v>197896</v>
      </c>
      <c r="FQ93" s="11">
        <v>195351</v>
      </c>
      <c r="FR93" s="23">
        <f>FN93*100/FE93-100</f>
        <v>7.118644067796609</v>
      </c>
      <c r="FS93" s="23">
        <f>FO93*100/FF93-100</f>
        <v>8.973340457437999</v>
      </c>
      <c r="FT93" s="23">
        <f t="shared" si="368"/>
        <v>16.730764693391222</v>
      </c>
      <c r="FU93" s="23">
        <f t="shared" si="368"/>
        <v>16.929034883999336</v>
      </c>
      <c r="FV93" s="23"/>
      <c r="FW93" s="20">
        <v>893</v>
      </c>
      <c r="FX93" s="10">
        <f>FY93/FW93</f>
        <v>251.06382978723406</v>
      </c>
      <c r="FY93" s="20">
        <v>224200</v>
      </c>
      <c r="FZ93" s="20">
        <v>221706</v>
      </c>
      <c r="GA93" s="23">
        <f aca="true" t="shared" si="385" ref="GA93:GD94">FW93*100/FN93-100</f>
        <v>-5.801687763713076</v>
      </c>
      <c r="GB93" s="23">
        <f t="shared" si="385"/>
        <v>20.269490357712087</v>
      </c>
      <c r="GC93" s="23">
        <f t="shared" si="385"/>
        <v>13.291830052148597</v>
      </c>
      <c r="GD93" s="23">
        <f t="shared" si="385"/>
        <v>13.491100634242983</v>
      </c>
      <c r="GE93" s="23"/>
      <c r="GF93" s="20">
        <v>880</v>
      </c>
      <c r="GG93" s="10">
        <f>GH93/GF93</f>
        <v>182.3068181818182</v>
      </c>
      <c r="GH93" s="20">
        <v>160430</v>
      </c>
      <c r="GI93" s="20">
        <v>158530</v>
      </c>
      <c r="GJ93" s="23">
        <f t="shared" si="300"/>
        <v>-1.4557670772676374</v>
      </c>
      <c r="GK93" s="23">
        <f t="shared" si="300"/>
        <v>-27.386267334360554</v>
      </c>
      <c r="GL93" s="23">
        <f t="shared" si="363"/>
        <v>-28.443354148082065</v>
      </c>
      <c r="GM93" s="23">
        <f t="shared" si="363"/>
        <v>-28.495394802125332</v>
      </c>
      <c r="GN93" s="23"/>
      <c r="GO93" s="20">
        <v>740</v>
      </c>
      <c r="GP93" s="10">
        <f>GQ93/GO93</f>
        <v>224.16756756756757</v>
      </c>
      <c r="GQ93" s="20">
        <v>165884</v>
      </c>
      <c r="GR93" s="20">
        <v>164114</v>
      </c>
      <c r="GS93" s="23">
        <f t="shared" si="301"/>
        <v>-15.909090909090907</v>
      </c>
      <c r="GT93" s="23">
        <f t="shared" si="301"/>
        <v>22.961702586461044</v>
      </c>
      <c r="GU93" s="23">
        <f t="shared" si="364"/>
        <v>3.3996135386149717</v>
      </c>
      <c r="GV93" s="23">
        <f t="shared" si="365"/>
        <v>3.5223616981013066</v>
      </c>
      <c r="GW93" s="23"/>
      <c r="GX93" s="20">
        <v>743</v>
      </c>
      <c r="GY93" s="10">
        <f>GZ93/GX93</f>
        <v>189.60969044414534</v>
      </c>
      <c r="GZ93" s="20">
        <v>140880</v>
      </c>
      <c r="HA93" s="20">
        <v>140880</v>
      </c>
      <c r="HB93" s="23">
        <f t="shared" si="302"/>
        <v>0.4054054054054035</v>
      </c>
      <c r="HC93" s="23">
        <f>GY93*100/GP93-100</f>
        <v>-15.416091408051685</v>
      </c>
      <c r="HD93" s="23">
        <f t="shared" si="366"/>
        <v>-15.073183670516741</v>
      </c>
      <c r="HE93" s="23">
        <f t="shared" si="367"/>
        <v>-14.157232167883308</v>
      </c>
      <c r="HF93" s="23"/>
      <c r="HG93" s="20">
        <v>758</v>
      </c>
      <c r="HH93" s="10">
        <f>HI93/HG93</f>
        <v>205.89313984168865</v>
      </c>
      <c r="HI93" s="20">
        <v>156067</v>
      </c>
      <c r="HJ93" s="20">
        <v>155280</v>
      </c>
      <c r="HK93" s="23">
        <f t="shared" si="304"/>
        <v>2.0188425302826403</v>
      </c>
      <c r="HL93" s="23">
        <f>HH93*100/GY93-100</f>
        <v>8.587878266875833</v>
      </c>
      <c r="HM93" s="23">
        <f t="shared" si="375"/>
        <v>10.780096536059062</v>
      </c>
      <c r="HN93" s="23">
        <f t="shared" si="376"/>
        <v>10.22146507666099</v>
      </c>
      <c r="HO93" s="23"/>
      <c r="HP93" s="20">
        <v>772</v>
      </c>
      <c r="HQ93" s="10">
        <f>HR93/HP93</f>
        <v>244.87046632124353</v>
      </c>
      <c r="HR93" s="20">
        <v>189040</v>
      </c>
      <c r="HS93" s="20">
        <v>188253</v>
      </c>
      <c r="HT93" s="46"/>
      <c r="HU93" s="23">
        <f>HQ93*100/HH93-100</f>
        <v>18.930852436134856</v>
      </c>
      <c r="HV93" s="23">
        <f t="shared" si="370"/>
        <v>21.12746448640648</v>
      </c>
      <c r="HW93" s="23">
        <f t="shared" si="371"/>
        <v>21.234544049459046</v>
      </c>
      <c r="HX93" s="23"/>
      <c r="HY93" s="20">
        <v>783</v>
      </c>
      <c r="HZ93" s="10">
        <f>IA93/HY93</f>
        <v>270.44699872286077</v>
      </c>
      <c r="IA93" s="20">
        <v>211760</v>
      </c>
      <c r="IB93" s="20">
        <v>210973</v>
      </c>
      <c r="IC93" s="46"/>
      <c r="ID93" s="23">
        <f>HZ93*100/HQ93-100</f>
        <v>10.444923304088292</v>
      </c>
      <c r="IE93" s="23">
        <f t="shared" si="383"/>
        <v>12.01862039779941</v>
      </c>
      <c r="IF93" s="23">
        <f t="shared" si="384"/>
        <v>12.068864772407352</v>
      </c>
      <c r="IG93" s="23"/>
      <c r="IH93" s="1" t="s">
        <v>89</v>
      </c>
      <c r="II93" s="29">
        <f aca="true" t="shared" si="386" ref="II93:II116">AVERAGE(EI93,EP93,EW93,FE93,FN93,FW93,GF93,GO93,GX93,HG93)</f>
        <v>847.7</v>
      </c>
      <c r="IJ93" s="30">
        <f aca="true" t="shared" si="387" ref="IJ93:IJ116">AVERAGE(EJ93,EQ93,EX93,FF93,FO93,FX93,GG93,GP93,GY93,HH93)</f>
        <v>201.28131735818928</v>
      </c>
      <c r="IK93" s="29">
        <f aca="true" t="shared" si="388" ref="IK93:IK116">AVERAGE(EK93,ER93,EZ93,FH93,FQ93,FZ93,GI93,GR93,HA93,HJ93)</f>
        <v>168617.7</v>
      </c>
      <c r="IL93" s="25">
        <f t="shared" si="360"/>
        <v>-8.930046006842048</v>
      </c>
      <c r="IM93" s="25">
        <f t="shared" si="361"/>
        <v>21.655834498283483</v>
      </c>
      <c r="IN93" s="25">
        <f t="shared" si="362"/>
        <v>11.644862905851511</v>
      </c>
      <c r="IP93" s="30">
        <f>HP93*100/Italia!BR93</f>
        <v>5.979397413058632</v>
      </c>
      <c r="IQ93" s="30">
        <f>HR93*100/Italia!BT93</f>
        <v>7.519173813673727</v>
      </c>
      <c r="IR93" s="30">
        <f>HS93*100/Italia!BU93</f>
        <v>7.698385143764285</v>
      </c>
    </row>
    <row r="94" spans="1:252" ht="12">
      <c r="A94" s="1" t="s">
        <v>90</v>
      </c>
      <c r="B94" s="22">
        <v>10.5</v>
      </c>
      <c r="C94" s="10">
        <v>441.9</v>
      </c>
      <c r="D94" s="11">
        <v>4638</v>
      </c>
      <c r="E94" s="9"/>
      <c r="F94" s="22">
        <v>11.4</v>
      </c>
      <c r="G94" s="10">
        <v>283.7</v>
      </c>
      <c r="H94" s="11">
        <v>3234</v>
      </c>
      <c r="I94" s="23">
        <f t="shared" si="349"/>
        <v>8.57142857142857</v>
      </c>
      <c r="J94" s="23">
        <f>G94*100/C94-100</f>
        <v>-35.79995474089161</v>
      </c>
      <c r="K94" s="23">
        <f t="shared" si="350"/>
        <v>-30.271668822768433</v>
      </c>
      <c r="L94" s="8"/>
      <c r="M94" s="22">
        <v>9.3</v>
      </c>
      <c r="N94" s="10">
        <v>455</v>
      </c>
      <c r="O94" s="11">
        <v>4230</v>
      </c>
      <c r="P94" s="23">
        <f t="shared" si="351"/>
        <v>-18.421052631578945</v>
      </c>
      <c r="Q94" s="23">
        <f>N94*100/G94-100</f>
        <v>60.380683820937605</v>
      </c>
      <c r="R94" s="23">
        <f t="shared" si="352"/>
        <v>30.79777365491651</v>
      </c>
      <c r="S94" s="8"/>
      <c r="T94" s="22">
        <v>3.05</v>
      </c>
      <c r="U94" s="10">
        <f>950/T94</f>
        <v>311.4754098360656</v>
      </c>
      <c r="V94" s="11">
        <v>940</v>
      </c>
      <c r="W94" s="23">
        <f t="shared" si="311"/>
        <v>-67.20430107526883</v>
      </c>
      <c r="X94" s="23">
        <f>U94*100/N94-100</f>
        <v>-31.543865970095467</v>
      </c>
      <c r="Y94" s="23">
        <f t="shared" si="312"/>
        <v>-77.77777777777777</v>
      </c>
      <c r="Z94" s="8"/>
      <c r="AA94" s="22">
        <v>10.8</v>
      </c>
      <c r="AB94" s="10">
        <f>3459/AA94</f>
        <v>320.27777777777777</v>
      </c>
      <c r="AC94" s="11">
        <v>3440</v>
      </c>
      <c r="AD94" s="23">
        <f t="shared" si="313"/>
        <v>254.09836065573774</v>
      </c>
      <c r="AE94" s="23">
        <f>AB94*100/U94-100</f>
        <v>2.8260233918128677</v>
      </c>
      <c r="AF94" s="23">
        <f t="shared" si="314"/>
        <v>265.9574468085106</v>
      </c>
      <c r="AG94" s="8"/>
      <c r="AH94" s="22">
        <v>10.3</v>
      </c>
      <c r="AI94" s="10">
        <v>350.5</v>
      </c>
      <c r="AJ94" s="11">
        <v>3610</v>
      </c>
      <c r="AK94" s="23">
        <f t="shared" si="315"/>
        <v>-4.629629629629633</v>
      </c>
      <c r="AL94" s="23">
        <f>AI94*100/AB94-100</f>
        <v>9.436253252385086</v>
      </c>
      <c r="AM94" s="23">
        <f t="shared" si="316"/>
        <v>4.941860465116278</v>
      </c>
      <c r="AN94" s="8"/>
      <c r="AO94" s="22">
        <v>8.3</v>
      </c>
      <c r="AP94" s="10">
        <f>2828/AO94</f>
        <v>340.72289156626505</v>
      </c>
      <c r="AQ94" s="11">
        <v>2746</v>
      </c>
      <c r="AR94" s="23">
        <f t="shared" si="317"/>
        <v>-19.41747572815534</v>
      </c>
      <c r="AS94" s="23">
        <f>AP94*100/AI94-100</f>
        <v>-2.789474588797418</v>
      </c>
      <c r="AT94" s="23">
        <f t="shared" si="318"/>
        <v>-23.933518005540165</v>
      </c>
      <c r="AU94" s="8"/>
      <c r="AV94" s="22">
        <v>8</v>
      </c>
      <c r="AW94" s="10">
        <f>2850/AV94</f>
        <v>356.25</v>
      </c>
      <c r="AX94" s="11">
        <v>2390</v>
      </c>
      <c r="AY94" s="23">
        <f t="shared" si="319"/>
        <v>-3.6144578313253106</v>
      </c>
      <c r="AZ94" s="23">
        <f>AW94*100/AP94-100</f>
        <v>4.557107496463942</v>
      </c>
      <c r="BA94" s="23">
        <f t="shared" si="320"/>
        <v>-12.964311726147116</v>
      </c>
      <c r="BB94" s="8"/>
      <c r="BC94" s="22">
        <v>8</v>
      </c>
      <c r="BD94" s="10">
        <f>2850/BC94</f>
        <v>356.25</v>
      </c>
      <c r="BE94" s="11">
        <v>2295</v>
      </c>
      <c r="BF94" s="23">
        <f t="shared" si="321"/>
        <v>0</v>
      </c>
      <c r="BG94" s="23">
        <f>BD94*100/AW94-100</f>
        <v>0</v>
      </c>
      <c r="BH94" s="23">
        <f t="shared" si="322"/>
        <v>-3.974895397489533</v>
      </c>
      <c r="BI94" s="8"/>
      <c r="BJ94" s="22">
        <v>7.4</v>
      </c>
      <c r="BK94" s="10">
        <f>2635/BJ94</f>
        <v>356.08108108108104</v>
      </c>
      <c r="BL94" s="11">
        <v>2135</v>
      </c>
      <c r="BM94" s="23">
        <f t="shared" si="353"/>
        <v>-7.5</v>
      </c>
      <c r="BN94" s="23">
        <f>BK94*100/BD94-100</f>
        <v>-0.04741583688952744</v>
      </c>
      <c r="BO94" s="23">
        <f t="shared" si="323"/>
        <v>-6.971677559912848</v>
      </c>
      <c r="BP94" s="8"/>
      <c r="BQ94" s="22">
        <v>6</v>
      </c>
      <c r="BR94" s="10">
        <f>2110/BQ94</f>
        <v>351.6666666666667</v>
      </c>
      <c r="BS94" s="11">
        <v>1780</v>
      </c>
      <c r="BT94" s="23">
        <f t="shared" si="354"/>
        <v>-18.91891891891892</v>
      </c>
      <c r="BU94" s="23">
        <f>BR94*100/BK94-100</f>
        <v>-1.2397216951296457</v>
      </c>
      <c r="BV94" s="23">
        <f t="shared" si="324"/>
        <v>-16.62763466042155</v>
      </c>
      <c r="BW94" s="8"/>
      <c r="BX94" s="22">
        <v>4</v>
      </c>
      <c r="BY94" s="10">
        <f>1510/BX94</f>
        <v>377.5</v>
      </c>
      <c r="BZ94" s="11">
        <v>1180</v>
      </c>
      <c r="CA94" s="23">
        <f t="shared" si="325"/>
        <v>-33.33333333333333</v>
      </c>
      <c r="CB94" s="23">
        <f>BY94*100/BR94-100</f>
        <v>7.345971563981038</v>
      </c>
      <c r="CC94" s="23">
        <f t="shared" si="326"/>
        <v>-33.70786516853933</v>
      </c>
      <c r="CD94" s="8"/>
      <c r="CE94" s="22">
        <v>5.5</v>
      </c>
      <c r="CF94" s="10">
        <f>1830/CE94</f>
        <v>332.72727272727275</v>
      </c>
      <c r="CG94" s="11">
        <v>1500</v>
      </c>
      <c r="CH94" s="23">
        <f t="shared" si="327"/>
        <v>37.5</v>
      </c>
      <c r="CI94" s="23">
        <f>CF94*100/BY94-100</f>
        <v>-11.860325105358214</v>
      </c>
      <c r="CJ94" s="23">
        <f t="shared" si="328"/>
        <v>27.11864406779661</v>
      </c>
      <c r="CK94" s="8"/>
      <c r="CL94" s="22">
        <v>4.7</v>
      </c>
      <c r="CM94" s="10">
        <f>1782/CL94</f>
        <v>379.1489361702128</v>
      </c>
      <c r="CN94" s="11">
        <v>1452</v>
      </c>
      <c r="CO94" s="23">
        <f t="shared" si="329"/>
        <v>-14.545454545454547</v>
      </c>
      <c r="CP94" s="23">
        <f>CM94*100/CF94-100</f>
        <v>13.951866062085799</v>
      </c>
      <c r="CQ94" s="23">
        <f t="shared" si="330"/>
        <v>-3.200000000000003</v>
      </c>
      <c r="CR94" s="8"/>
      <c r="CS94" s="22">
        <v>4.8</v>
      </c>
      <c r="CT94" s="10">
        <f>1822/CS94</f>
        <v>379.58333333333337</v>
      </c>
      <c r="CU94" s="11">
        <v>1492</v>
      </c>
      <c r="CV94" s="23">
        <f t="shared" si="331"/>
        <v>2.1276595744680833</v>
      </c>
      <c r="CW94" s="23">
        <f>CT94*100/CM94-100</f>
        <v>0.11457164234941786</v>
      </c>
      <c r="CX94" s="23">
        <f t="shared" si="332"/>
        <v>2.7548209366391205</v>
      </c>
      <c r="CY94" s="8"/>
      <c r="CZ94" s="22">
        <v>2.2</v>
      </c>
      <c r="DA94" s="10">
        <f>840/CZ94</f>
        <v>381.8181818181818</v>
      </c>
      <c r="DB94" s="11">
        <v>730</v>
      </c>
      <c r="DC94" s="23">
        <f t="shared" si="333"/>
        <v>-54.16666666666666</v>
      </c>
      <c r="DD94" s="23">
        <f>DA94*100/CT94-100</f>
        <v>0.5887635964474498</v>
      </c>
      <c r="DE94" s="23">
        <f t="shared" si="334"/>
        <v>-51.07238605898123</v>
      </c>
      <c r="DF94" s="8"/>
      <c r="DG94" s="22">
        <v>2.7</v>
      </c>
      <c r="DH94" s="10">
        <f>1042/DG94</f>
        <v>385.9259259259259</v>
      </c>
      <c r="DI94" s="11">
        <v>932</v>
      </c>
      <c r="DJ94" s="23">
        <f t="shared" si="335"/>
        <v>22.72727272727272</v>
      </c>
      <c r="DK94" s="23">
        <f>DH94*100/DA94-100</f>
        <v>1.0758377425044046</v>
      </c>
      <c r="DL94" s="23">
        <f t="shared" si="336"/>
        <v>27.671232876712324</v>
      </c>
      <c r="DM94" s="8"/>
      <c r="DN94" s="22">
        <v>5.35</v>
      </c>
      <c r="DO94" s="10">
        <f>1662/DN94</f>
        <v>310.6542056074767</v>
      </c>
      <c r="DP94" s="11">
        <v>1552</v>
      </c>
      <c r="DQ94" s="23">
        <f t="shared" si="337"/>
        <v>98.14814814814812</v>
      </c>
      <c r="DR94" s="23">
        <f>DO94*100/DH94-100</f>
        <v>-19.504188566200853</v>
      </c>
      <c r="DS94" s="23">
        <f t="shared" si="338"/>
        <v>66.52360515021459</v>
      </c>
      <c r="DT94" s="8"/>
      <c r="DU94" s="22">
        <v>8.65</v>
      </c>
      <c r="DV94" s="10">
        <f>2920/DU94</f>
        <v>337.5722543352601</v>
      </c>
      <c r="DW94" s="11">
        <v>2810</v>
      </c>
      <c r="DX94" s="23">
        <f t="shared" si="339"/>
        <v>61.6822429906542</v>
      </c>
      <c r="DY94" s="23">
        <f>DV94*100/DO94-100</f>
        <v>8.664955517066247</v>
      </c>
      <c r="DZ94" s="23">
        <f t="shared" si="340"/>
        <v>81.05670103092783</v>
      </c>
      <c r="EA94" s="8"/>
      <c r="EB94" s="22">
        <v>9.65</v>
      </c>
      <c r="EC94" s="10">
        <f>3730/EB94</f>
        <v>386.5284974093264</v>
      </c>
      <c r="ED94" s="11">
        <v>3620</v>
      </c>
      <c r="EE94" s="23">
        <f t="shared" si="341"/>
        <v>11.5606936416185</v>
      </c>
      <c r="EF94" s="23">
        <f>EC94*100/DV94-100</f>
        <v>14.502448718858673</v>
      </c>
      <c r="EG94" s="23">
        <f t="shared" si="342"/>
        <v>28.825622775800724</v>
      </c>
      <c r="EH94" s="8"/>
      <c r="EI94" s="22">
        <v>12.15</v>
      </c>
      <c r="EJ94" s="10">
        <f>4550/EI94</f>
        <v>374.4855967078189</v>
      </c>
      <c r="EK94" s="11">
        <v>4440</v>
      </c>
      <c r="EL94" s="23">
        <f t="shared" si="343"/>
        <v>25.90673575129533</v>
      </c>
      <c r="EM94" s="23">
        <f>EJ94*100/EC94-100</f>
        <v>-3.1156566158055625</v>
      </c>
      <c r="EN94" s="23">
        <f t="shared" si="344"/>
        <v>22.651933701657455</v>
      </c>
      <c r="EO94" s="8"/>
      <c r="EP94" s="22">
        <v>12.65</v>
      </c>
      <c r="EQ94" s="10">
        <f>4750/EP94</f>
        <v>375.49407114624506</v>
      </c>
      <c r="ER94" s="11">
        <v>4640</v>
      </c>
      <c r="ES94" s="23">
        <f t="shared" si="345"/>
        <v>4.115226337448561</v>
      </c>
      <c r="ET94" s="23">
        <f>EQ94*100/EJ94-100</f>
        <v>0.2692959214698334</v>
      </c>
      <c r="EU94" s="23">
        <f t="shared" si="346"/>
        <v>4.50450450450451</v>
      </c>
      <c r="EV94" s="8"/>
      <c r="EW94" s="22">
        <v>14.2</v>
      </c>
      <c r="EX94" s="10">
        <f t="shared" si="377"/>
        <v>368.5211267605634</v>
      </c>
      <c r="EY94" s="11">
        <v>5233</v>
      </c>
      <c r="EZ94" s="11">
        <v>5123</v>
      </c>
      <c r="FA94" s="23">
        <f t="shared" si="198"/>
        <v>12.252964426877469</v>
      </c>
      <c r="FB94" s="23">
        <f>EX94*100/EQ94-100</f>
        <v>-1.8570051890288966</v>
      </c>
      <c r="FC94" s="23">
        <f t="shared" si="199"/>
        <v>10.409482758620683</v>
      </c>
      <c r="FD94" s="8"/>
      <c r="FE94" s="22">
        <v>15.5</v>
      </c>
      <c r="FF94" s="10">
        <f t="shared" si="378"/>
        <v>365.80645161290323</v>
      </c>
      <c r="FG94" s="11">
        <v>5670</v>
      </c>
      <c r="FH94" s="11">
        <v>5560</v>
      </c>
      <c r="FI94" s="23">
        <f t="shared" si="379"/>
        <v>9.154929577464799</v>
      </c>
      <c r="FJ94" s="23">
        <f t="shared" si="373"/>
        <v>-0.7366403037793532</v>
      </c>
      <c r="FK94" s="23">
        <f t="shared" si="373"/>
        <v>8.350850372635193</v>
      </c>
      <c r="FL94" s="23">
        <f t="shared" si="380"/>
        <v>8.530158110482134</v>
      </c>
      <c r="FM94" s="23"/>
      <c r="FN94" s="22">
        <v>16.2</v>
      </c>
      <c r="FO94" s="10">
        <f t="shared" si="220"/>
        <v>372.22222222222223</v>
      </c>
      <c r="FP94" s="11">
        <v>6030</v>
      </c>
      <c r="FQ94" s="11">
        <v>5920</v>
      </c>
      <c r="FR94" s="23">
        <f>FN94*100/FE94-100</f>
        <v>4.516129032258064</v>
      </c>
      <c r="FS94" s="23">
        <f>FO94*100/FF94-100</f>
        <v>1.7538702723887951</v>
      </c>
      <c r="FT94" s="23">
        <f t="shared" si="368"/>
        <v>6.349206349206355</v>
      </c>
      <c r="FU94" s="23">
        <f t="shared" si="368"/>
        <v>6.474820143884898</v>
      </c>
      <c r="FV94" s="23"/>
      <c r="FW94" s="22">
        <v>16.2</v>
      </c>
      <c r="FX94" s="10">
        <f>FY94/FW94</f>
        <v>366.0493827160494</v>
      </c>
      <c r="FY94" s="20">
        <v>5930</v>
      </c>
      <c r="FZ94" s="20">
        <v>5820</v>
      </c>
      <c r="GA94" s="23">
        <f t="shared" si="385"/>
        <v>0</v>
      </c>
      <c r="GB94" s="23">
        <f t="shared" si="385"/>
        <v>-1.6583747927031425</v>
      </c>
      <c r="GC94" s="23">
        <f t="shared" si="385"/>
        <v>-1.6583747927031567</v>
      </c>
      <c r="GD94" s="23">
        <f t="shared" si="385"/>
        <v>-1.689189189189193</v>
      </c>
      <c r="GE94" s="23"/>
      <c r="GF94" s="22">
        <v>16.8</v>
      </c>
      <c r="GG94" s="10">
        <f>GH94/GF94</f>
        <v>381.54761904761904</v>
      </c>
      <c r="GH94" s="20">
        <v>6410</v>
      </c>
      <c r="GI94" s="20">
        <v>6300</v>
      </c>
      <c r="GJ94" s="23">
        <f t="shared" si="300"/>
        <v>3.7037037037037095</v>
      </c>
      <c r="GK94" s="23">
        <f t="shared" si="300"/>
        <v>4.233919537460835</v>
      </c>
      <c r="GL94" s="23">
        <f t="shared" si="363"/>
        <v>8.094435075885329</v>
      </c>
      <c r="GM94" s="23">
        <f t="shared" si="363"/>
        <v>8.24742268041237</v>
      </c>
      <c r="GN94" s="23"/>
      <c r="GO94" s="22">
        <v>16.6</v>
      </c>
      <c r="GP94" s="10">
        <f>GQ94/GO94</f>
        <v>364.4578313253012</v>
      </c>
      <c r="GQ94" s="20">
        <v>6050</v>
      </c>
      <c r="GR94" s="20">
        <v>5940</v>
      </c>
      <c r="GS94" s="23">
        <f t="shared" si="301"/>
        <v>-1.1904761904761756</v>
      </c>
      <c r="GT94" s="23">
        <f t="shared" si="301"/>
        <v>-4.479070729094232</v>
      </c>
      <c r="GU94" s="23">
        <f t="shared" si="364"/>
        <v>-5.616224648985963</v>
      </c>
      <c r="GV94" s="23">
        <f t="shared" si="365"/>
        <v>-5.714285714285708</v>
      </c>
      <c r="GW94" s="23"/>
      <c r="GX94" s="22">
        <v>8.4</v>
      </c>
      <c r="GY94" s="10">
        <f>GZ94/GX94</f>
        <v>344.04761904761904</v>
      </c>
      <c r="GZ94" s="20">
        <v>2890</v>
      </c>
      <c r="HA94" s="20">
        <v>2780</v>
      </c>
      <c r="HB94" s="23">
        <f t="shared" si="302"/>
        <v>-49.397590361445786</v>
      </c>
      <c r="HC94" s="23">
        <f>GY94*100/GP94-100</f>
        <v>-5.600157418339236</v>
      </c>
      <c r="HD94" s="23">
        <f t="shared" si="366"/>
        <v>-52.231404958677686</v>
      </c>
      <c r="HE94" s="23">
        <f t="shared" si="367"/>
        <v>-53.1986531986532</v>
      </c>
      <c r="HF94" s="23"/>
      <c r="HG94" s="22">
        <v>10.4</v>
      </c>
      <c r="HH94" s="10">
        <f>HI94/HG94</f>
        <v>374.03846153846155</v>
      </c>
      <c r="HI94" s="20">
        <v>3890</v>
      </c>
      <c r="HJ94" s="20">
        <v>3780</v>
      </c>
      <c r="HK94" s="23">
        <f t="shared" si="304"/>
        <v>23.80952380952381</v>
      </c>
      <c r="HL94" s="23">
        <f>HH94*100/GY94-100</f>
        <v>8.717061485227589</v>
      </c>
      <c r="HM94" s="23">
        <f t="shared" si="375"/>
        <v>34.602076124567475</v>
      </c>
      <c r="HN94" s="23">
        <f t="shared" si="376"/>
        <v>35.971223021582745</v>
      </c>
      <c r="HO94" s="23"/>
      <c r="HP94" s="22">
        <v>9.4</v>
      </c>
      <c r="HQ94" s="10">
        <f>HR94/HP94</f>
        <v>354.25531914893617</v>
      </c>
      <c r="HR94" s="20">
        <v>3330</v>
      </c>
      <c r="HS94" s="20">
        <v>3220</v>
      </c>
      <c r="HT94" s="23">
        <f t="shared" si="306"/>
        <v>-9.615384615384613</v>
      </c>
      <c r="HU94" s="23">
        <f>HQ94*100/HH94-100</f>
        <v>-5.289066345785699</v>
      </c>
      <c r="HV94" s="23">
        <f t="shared" si="370"/>
        <v>-14.395886889460158</v>
      </c>
      <c r="HW94" s="23">
        <f t="shared" si="371"/>
        <v>-14.81481481481481</v>
      </c>
      <c r="HX94" s="23"/>
      <c r="HY94" s="22"/>
      <c r="HZ94" s="10" t="e">
        <f>IA94/HY94</f>
        <v>#DIV/0!</v>
      </c>
      <c r="IA94" s="20"/>
      <c r="IB94" s="20"/>
      <c r="IC94" s="23">
        <f aca="true" t="shared" si="389" ref="IC94:IC102">HY94*100/HP94-100</f>
        <v>-100</v>
      </c>
      <c r="ID94" s="23" t="e">
        <f>HZ94*100/HQ94-100</f>
        <v>#DIV/0!</v>
      </c>
      <c r="IE94" s="23">
        <f t="shared" si="383"/>
        <v>-100</v>
      </c>
      <c r="IF94" s="23">
        <f t="shared" si="384"/>
        <v>-100</v>
      </c>
      <c r="IG94" s="23"/>
      <c r="IH94" s="1" t="s">
        <v>90</v>
      </c>
      <c r="II94" s="29">
        <f t="shared" si="386"/>
        <v>13.910000000000002</v>
      </c>
      <c r="IJ94" s="30">
        <f t="shared" si="387"/>
        <v>368.66703821248035</v>
      </c>
      <c r="IK94" s="29">
        <f t="shared" si="388"/>
        <v>5030.3</v>
      </c>
      <c r="IL94" s="25">
        <f t="shared" si="360"/>
        <v>-32.422717469446454</v>
      </c>
      <c r="IM94" s="25">
        <f t="shared" si="361"/>
        <v>-3.9091422800966598</v>
      </c>
      <c r="IN94" s="25">
        <f t="shared" si="362"/>
        <v>-35.98791324573088</v>
      </c>
      <c r="IP94" s="30">
        <f>HP94*100/Italia!BR94</f>
        <v>4.414803682134135</v>
      </c>
      <c r="IQ94" s="30">
        <f>HR94*100/Italia!BT94</f>
        <v>5.790297339593114</v>
      </c>
      <c r="IR94" s="30">
        <f>HS94*100/Italia!BU94</f>
        <v>5.7913669064748206</v>
      </c>
    </row>
    <row r="95" spans="1:252" ht="12">
      <c r="A95" s="1" t="s">
        <v>91</v>
      </c>
      <c r="B95" s="19">
        <f>B94+B93</f>
        <v>342.5</v>
      </c>
      <c r="C95" s="6" t="s">
        <v>1</v>
      </c>
      <c r="D95" s="9">
        <f>D94+D93</f>
        <v>62938</v>
      </c>
      <c r="E95" s="9"/>
      <c r="F95" s="19">
        <f>F93+F94</f>
        <v>359.4</v>
      </c>
      <c r="G95" s="6" t="s">
        <v>1</v>
      </c>
      <c r="H95" s="9">
        <f>H94+H93</f>
        <v>78034</v>
      </c>
      <c r="I95" s="23">
        <f t="shared" si="349"/>
        <v>4.9343065693430646</v>
      </c>
      <c r="J95" s="24" t="s">
        <v>1</v>
      </c>
      <c r="K95" s="23">
        <f t="shared" si="350"/>
        <v>23.98550954908005</v>
      </c>
      <c r="L95" s="8"/>
      <c r="M95" s="19">
        <f>M93+M94</f>
        <v>509.3</v>
      </c>
      <c r="N95" s="6" t="s">
        <v>1</v>
      </c>
      <c r="O95" s="9">
        <f>O94+O93</f>
        <v>88630</v>
      </c>
      <c r="P95" s="23">
        <f t="shared" si="351"/>
        <v>41.708402893711764</v>
      </c>
      <c r="Q95" s="24" t="s">
        <v>1</v>
      </c>
      <c r="R95" s="23">
        <f t="shared" si="352"/>
        <v>13.578696465643176</v>
      </c>
      <c r="S95" s="8"/>
      <c r="T95" s="19">
        <f>T93+T94</f>
        <v>1267.05</v>
      </c>
      <c r="U95" s="6" t="s">
        <v>1</v>
      </c>
      <c r="V95" s="9">
        <f>V94+V93</f>
        <v>98940</v>
      </c>
      <c r="W95" s="23">
        <f t="shared" si="311"/>
        <v>148.782642843118</v>
      </c>
      <c r="X95" s="24" t="s">
        <v>1</v>
      </c>
      <c r="Y95" s="23">
        <f t="shared" si="312"/>
        <v>11.63263003497687</v>
      </c>
      <c r="Z95" s="8"/>
      <c r="AA95" s="19">
        <f>AA93+AA94</f>
        <v>952.8</v>
      </c>
      <c r="AB95" s="6" t="s">
        <v>1</v>
      </c>
      <c r="AC95" s="9">
        <f>AC94+AC93</f>
        <v>119040</v>
      </c>
      <c r="AD95" s="23">
        <f t="shared" si="313"/>
        <v>-24.80170474724754</v>
      </c>
      <c r="AE95" s="24" t="s">
        <v>1</v>
      </c>
      <c r="AF95" s="23">
        <f t="shared" si="314"/>
        <v>20.31534263189812</v>
      </c>
      <c r="AG95" s="8"/>
      <c r="AH95" s="19">
        <f>AH93+AH94</f>
        <v>955.3</v>
      </c>
      <c r="AI95" s="6" t="s">
        <v>1</v>
      </c>
      <c r="AJ95" s="9">
        <f>AJ94+AJ93</f>
        <v>141310</v>
      </c>
      <c r="AK95" s="23">
        <f t="shared" si="315"/>
        <v>0.26238455079764833</v>
      </c>
      <c r="AL95" s="24" t="s">
        <v>1</v>
      </c>
      <c r="AM95" s="23">
        <f t="shared" si="316"/>
        <v>18.707997311827953</v>
      </c>
      <c r="AN95" s="8"/>
      <c r="AO95" s="19">
        <f>AO93+AO94</f>
        <v>1097.3</v>
      </c>
      <c r="AP95" s="6" t="s">
        <v>1</v>
      </c>
      <c r="AQ95" s="9">
        <f>AQ94+AQ93</f>
        <v>145246</v>
      </c>
      <c r="AR95" s="23">
        <f t="shared" si="317"/>
        <v>14.86444048989847</v>
      </c>
      <c r="AS95" s="24" t="s">
        <v>1</v>
      </c>
      <c r="AT95" s="23">
        <f t="shared" si="318"/>
        <v>2.7853655084565787</v>
      </c>
      <c r="AU95" s="8"/>
      <c r="AV95" s="19">
        <f>AV93+AV94</f>
        <v>1102</v>
      </c>
      <c r="AW95" s="6" t="s">
        <v>1</v>
      </c>
      <c r="AX95" s="9">
        <f>AX94+AX93</f>
        <v>197987</v>
      </c>
      <c r="AY95" s="23">
        <f t="shared" si="319"/>
        <v>0.4283240681673277</v>
      </c>
      <c r="AZ95" s="24" t="s">
        <v>1</v>
      </c>
      <c r="BA95" s="23">
        <f t="shared" si="320"/>
        <v>36.31149911185162</v>
      </c>
      <c r="BB95" s="8"/>
      <c r="BC95" s="19">
        <f>BC93+BC94</f>
        <v>946</v>
      </c>
      <c r="BD95" s="6" t="s">
        <v>1</v>
      </c>
      <c r="BE95" s="9">
        <f>BE94+BE93</f>
        <v>134225</v>
      </c>
      <c r="BF95" s="23">
        <f t="shared" si="321"/>
        <v>-14.156079854809434</v>
      </c>
      <c r="BG95" s="24" t="s">
        <v>1</v>
      </c>
      <c r="BH95" s="23">
        <f t="shared" si="322"/>
        <v>-32.20514478223318</v>
      </c>
      <c r="BI95" s="8"/>
      <c r="BJ95" s="19">
        <f>BJ93+BJ94</f>
        <v>907.4</v>
      </c>
      <c r="BK95" s="6" t="s">
        <v>1</v>
      </c>
      <c r="BL95" s="9">
        <f>BL94+BL93</f>
        <v>171139</v>
      </c>
      <c r="BM95" s="23">
        <f t="shared" si="353"/>
        <v>-4.080338266384771</v>
      </c>
      <c r="BN95" s="24" t="s">
        <v>1</v>
      </c>
      <c r="BO95" s="23">
        <f t="shared" si="323"/>
        <v>27.501583162600113</v>
      </c>
      <c r="BP95" s="8"/>
      <c r="BQ95" s="19">
        <f>BQ93+BQ94</f>
        <v>800</v>
      </c>
      <c r="BR95" s="6" t="s">
        <v>1</v>
      </c>
      <c r="BS95" s="9">
        <f>BS94+BS93</f>
        <v>131887</v>
      </c>
      <c r="BT95" s="23">
        <f t="shared" si="354"/>
        <v>-11.836014987877448</v>
      </c>
      <c r="BU95" s="24" t="s">
        <v>1</v>
      </c>
      <c r="BV95" s="23">
        <f t="shared" si="324"/>
        <v>-22.93574229135382</v>
      </c>
      <c r="BW95" s="8"/>
      <c r="BX95" s="19">
        <f>BX93+BX94</f>
        <v>720</v>
      </c>
      <c r="BY95" s="6" t="s">
        <v>1</v>
      </c>
      <c r="BZ95" s="9">
        <f>BZ94+BZ93</f>
        <v>95783</v>
      </c>
      <c r="CA95" s="23">
        <f t="shared" si="325"/>
        <v>-10</v>
      </c>
      <c r="CB95" s="24" t="s">
        <v>1</v>
      </c>
      <c r="CC95" s="23">
        <f t="shared" si="326"/>
        <v>-27.37494976760408</v>
      </c>
      <c r="CD95" s="8"/>
      <c r="CE95" s="19">
        <f>CE93+CE94</f>
        <v>677.5</v>
      </c>
      <c r="CF95" s="6" t="s">
        <v>1</v>
      </c>
      <c r="CG95" s="9">
        <f>CG94+CG93</f>
        <v>101961</v>
      </c>
      <c r="CH95" s="23">
        <f t="shared" si="327"/>
        <v>-5.9027777777777715</v>
      </c>
      <c r="CI95" s="24" t="s">
        <v>1</v>
      </c>
      <c r="CJ95" s="23">
        <f t="shared" si="328"/>
        <v>6.4499963459068965</v>
      </c>
      <c r="CK95" s="8"/>
      <c r="CL95" s="19">
        <f>CL93+CL94</f>
        <v>749.7</v>
      </c>
      <c r="CM95" s="6" t="s">
        <v>1</v>
      </c>
      <c r="CN95" s="9">
        <f>CN94+CN93</f>
        <v>132153</v>
      </c>
      <c r="CO95" s="23">
        <f t="shared" si="329"/>
        <v>10.656826568265686</v>
      </c>
      <c r="CP95" s="24" t="s">
        <v>1</v>
      </c>
      <c r="CQ95" s="23">
        <f t="shared" si="330"/>
        <v>29.611321976049652</v>
      </c>
      <c r="CR95" s="8"/>
      <c r="CS95" s="19">
        <f>CS93+CS94</f>
        <v>811.8</v>
      </c>
      <c r="CT95" s="6" t="s">
        <v>1</v>
      </c>
      <c r="CU95" s="9">
        <f>CU94+CU93</f>
        <v>157867</v>
      </c>
      <c r="CV95" s="23">
        <f t="shared" si="331"/>
        <v>8.283313325330127</v>
      </c>
      <c r="CW95" s="24" t="s">
        <v>1</v>
      </c>
      <c r="CX95" s="23">
        <f t="shared" si="332"/>
        <v>19.457749729480227</v>
      </c>
      <c r="CY95" s="8"/>
      <c r="CZ95" s="19">
        <f>CZ93+CZ94</f>
        <v>809.2</v>
      </c>
      <c r="DA95" s="6" t="s">
        <v>1</v>
      </c>
      <c r="DB95" s="9">
        <f>DB94+DB93</f>
        <v>145320</v>
      </c>
      <c r="DC95" s="23">
        <f t="shared" si="333"/>
        <v>-0.32027593003202526</v>
      </c>
      <c r="DD95" s="24" t="s">
        <v>1</v>
      </c>
      <c r="DE95" s="23">
        <f t="shared" si="334"/>
        <v>-7.9478295020491885</v>
      </c>
      <c r="DF95" s="8"/>
      <c r="DG95" s="19">
        <f>DG93+DG94</f>
        <v>812.7</v>
      </c>
      <c r="DH95" s="6" t="s">
        <v>1</v>
      </c>
      <c r="DI95" s="9">
        <f>DI94+DI93</f>
        <v>187852</v>
      </c>
      <c r="DJ95" s="23">
        <f t="shared" si="335"/>
        <v>0.43252595155708207</v>
      </c>
      <c r="DK95" s="24" t="s">
        <v>1</v>
      </c>
      <c r="DL95" s="23">
        <f t="shared" si="336"/>
        <v>29.267822736030837</v>
      </c>
      <c r="DM95" s="8"/>
      <c r="DN95" s="19">
        <f>DN93+DN94</f>
        <v>807.35</v>
      </c>
      <c r="DO95" s="6" t="s">
        <v>1</v>
      </c>
      <c r="DP95" s="9">
        <f>DP94+DP93</f>
        <v>213357</v>
      </c>
      <c r="DQ95" s="23">
        <f t="shared" si="337"/>
        <v>-0.6582994955087997</v>
      </c>
      <c r="DR95" s="24" t="s">
        <v>1</v>
      </c>
      <c r="DS95" s="23">
        <f t="shared" si="338"/>
        <v>13.57717777825097</v>
      </c>
      <c r="DT95" s="8"/>
      <c r="DU95" s="19">
        <f>DU93+DU94</f>
        <v>738.65</v>
      </c>
      <c r="DV95" s="6" t="s">
        <v>1</v>
      </c>
      <c r="DW95" s="9">
        <f>DW94+DW93</f>
        <v>133616</v>
      </c>
      <c r="DX95" s="23">
        <f t="shared" si="339"/>
        <v>-8.509320616832852</v>
      </c>
      <c r="DY95" s="24" t="s">
        <v>1</v>
      </c>
      <c r="DZ95" s="23">
        <f t="shared" si="340"/>
        <v>-37.374447522228</v>
      </c>
      <c r="EA95" s="8"/>
      <c r="EB95" s="19">
        <f>EB93+EB94</f>
        <v>793.65</v>
      </c>
      <c r="EC95" s="6" t="s">
        <v>1</v>
      </c>
      <c r="ED95" s="9">
        <f>ED94+ED93</f>
        <v>154530</v>
      </c>
      <c r="EE95" s="23">
        <f t="shared" si="341"/>
        <v>7.446016381236035</v>
      </c>
      <c r="EF95" s="24" t="s">
        <v>1</v>
      </c>
      <c r="EG95" s="23">
        <f t="shared" si="342"/>
        <v>15.652317087773923</v>
      </c>
      <c r="EH95" s="8"/>
      <c r="EI95" s="19">
        <f>EI93+EI94</f>
        <v>807.15</v>
      </c>
      <c r="EJ95" s="6" t="s">
        <v>1</v>
      </c>
      <c r="EK95" s="9">
        <f>EK94+EK93</f>
        <v>154430</v>
      </c>
      <c r="EL95" s="23">
        <f t="shared" si="343"/>
        <v>1.701001701001701</v>
      </c>
      <c r="EM95" s="24" t="s">
        <v>1</v>
      </c>
      <c r="EN95" s="23">
        <f t="shared" si="344"/>
        <v>-0.0647123535883054</v>
      </c>
      <c r="EO95" s="8"/>
      <c r="EP95" s="19">
        <f>EP93+EP94</f>
        <v>904.65</v>
      </c>
      <c r="EQ95" s="6" t="s">
        <v>1</v>
      </c>
      <c r="ER95" s="9">
        <f>ER94+ER93</f>
        <v>182260</v>
      </c>
      <c r="ES95" s="23">
        <f t="shared" si="345"/>
        <v>12.079539119122842</v>
      </c>
      <c r="ET95" s="24" t="s">
        <v>1</v>
      </c>
      <c r="EU95" s="23">
        <f t="shared" si="346"/>
        <v>18.02110988797513</v>
      </c>
      <c r="EV95" s="8"/>
      <c r="EW95" s="19">
        <f>EW93+EW94</f>
        <v>957.2</v>
      </c>
      <c r="EX95" s="10">
        <f t="shared" si="377"/>
        <v>170.34371082323443</v>
      </c>
      <c r="EY95" s="9">
        <f>EY94+EY93</f>
        <v>163053</v>
      </c>
      <c r="EZ95" s="9">
        <f>EZ94+EZ93</f>
        <v>160761</v>
      </c>
      <c r="FA95" s="23">
        <f t="shared" si="198"/>
        <v>5.808876361023607</v>
      </c>
      <c r="FB95" s="24" t="s">
        <v>1</v>
      </c>
      <c r="FC95" s="23">
        <f t="shared" si="199"/>
        <v>-11.795786239438172</v>
      </c>
      <c r="FD95" s="8"/>
      <c r="FE95" s="19">
        <f>FE93+FE94</f>
        <v>900.5</v>
      </c>
      <c r="FF95" s="10">
        <f t="shared" si="378"/>
        <v>194.56079955580233</v>
      </c>
      <c r="FG95" s="9">
        <f>FG94+FG93</f>
        <v>175202</v>
      </c>
      <c r="FH95" s="9">
        <f>FH94+FH93</f>
        <v>172628</v>
      </c>
      <c r="FI95" s="23">
        <f t="shared" si="379"/>
        <v>-5.9235269536147115</v>
      </c>
      <c r="FJ95" s="23">
        <f t="shared" si="373"/>
        <v>14.216602782416757</v>
      </c>
      <c r="FK95" s="23">
        <f t="shared" si="373"/>
        <v>7.450951531097246</v>
      </c>
      <c r="FL95" s="23">
        <f t="shared" si="380"/>
        <v>7.381765477945521</v>
      </c>
      <c r="FM95" s="23"/>
      <c r="FN95" s="19">
        <f>FN93+FN94</f>
        <v>964.2</v>
      </c>
      <c r="FO95" s="6" t="s">
        <v>1</v>
      </c>
      <c r="FP95" s="9">
        <f>FP94+FP93</f>
        <v>203926</v>
      </c>
      <c r="FQ95" s="9">
        <f>FQ94+FQ93</f>
        <v>201271</v>
      </c>
      <c r="FR95" s="24" t="s">
        <v>1</v>
      </c>
      <c r="FS95" s="24" t="s">
        <v>1</v>
      </c>
      <c r="FT95" s="23">
        <f t="shared" si="368"/>
        <v>16.394790013812624</v>
      </c>
      <c r="FU95" s="23">
        <f t="shared" si="368"/>
        <v>16.592325694557076</v>
      </c>
      <c r="FV95" s="23"/>
      <c r="FW95" s="36">
        <f>FW93+FW94</f>
        <v>909.2</v>
      </c>
      <c r="FX95" s="6" t="s">
        <v>1</v>
      </c>
      <c r="FY95" s="19">
        <f>FY93+FY94</f>
        <v>230130</v>
      </c>
      <c r="FZ95" s="19">
        <f>FZ93+FZ94</f>
        <v>227526</v>
      </c>
      <c r="GA95" s="24" t="s">
        <v>1</v>
      </c>
      <c r="GB95" s="24" t="s">
        <v>1</v>
      </c>
      <c r="GC95" s="24" t="s">
        <v>1</v>
      </c>
      <c r="GD95" s="24" t="s">
        <v>1</v>
      </c>
      <c r="GE95" s="23"/>
      <c r="GF95" s="19">
        <f>GF93+GF94</f>
        <v>896.8</v>
      </c>
      <c r="GG95" s="6" t="s">
        <v>1</v>
      </c>
      <c r="GH95" s="19">
        <f>GH93+GH94</f>
        <v>166840</v>
      </c>
      <c r="GI95" s="19">
        <f>GI93+GI94</f>
        <v>164830</v>
      </c>
      <c r="GJ95" s="23">
        <f t="shared" si="300"/>
        <v>-1.3638363396392492</v>
      </c>
      <c r="GK95" s="24" t="s">
        <v>1</v>
      </c>
      <c r="GL95" s="23">
        <f t="shared" si="363"/>
        <v>-27.50184678225351</v>
      </c>
      <c r="GM95" s="23">
        <f t="shared" si="363"/>
        <v>-27.555532115011033</v>
      </c>
      <c r="GN95" s="23"/>
      <c r="GO95" s="19">
        <f>GO93+GO94</f>
        <v>756.6</v>
      </c>
      <c r="GP95" s="6" t="s">
        <v>1</v>
      </c>
      <c r="GQ95" s="19">
        <f>GQ93+GQ94</f>
        <v>171934</v>
      </c>
      <c r="GR95" s="19">
        <f>GR93+GR94</f>
        <v>170054</v>
      </c>
      <c r="GS95" s="23">
        <f t="shared" si="301"/>
        <v>-15.633363068688666</v>
      </c>
      <c r="GT95" s="24" t="s">
        <v>1</v>
      </c>
      <c r="GU95" s="23">
        <f t="shared" si="364"/>
        <v>3.053224646367781</v>
      </c>
      <c r="GV95" s="23">
        <f t="shared" si="365"/>
        <v>3.169325972213798</v>
      </c>
      <c r="GW95" s="23"/>
      <c r="GX95" s="19">
        <f>GX93+GX94</f>
        <v>751.4</v>
      </c>
      <c r="GY95" s="6" t="s">
        <v>1</v>
      </c>
      <c r="GZ95" s="19">
        <f>GZ93+GZ94</f>
        <v>143770</v>
      </c>
      <c r="HA95" s="19">
        <f>HA93+HA94</f>
        <v>143660</v>
      </c>
      <c r="HB95" s="23">
        <f t="shared" si="302"/>
        <v>-0.6872852233676952</v>
      </c>
      <c r="HC95" s="24" t="s">
        <v>1</v>
      </c>
      <c r="HD95" s="23">
        <f t="shared" si="366"/>
        <v>-16.38070422371375</v>
      </c>
      <c r="HE95" s="23">
        <f t="shared" si="367"/>
        <v>-15.520952168134826</v>
      </c>
      <c r="HF95" s="23"/>
      <c r="HG95" s="19">
        <f>HG93+HG94</f>
        <v>768.4</v>
      </c>
      <c r="HH95" s="6" t="s">
        <v>1</v>
      </c>
      <c r="HI95" s="19">
        <f>HI93+HI94</f>
        <v>159957</v>
      </c>
      <c r="HJ95" s="19">
        <f>HJ93+HJ94</f>
        <v>159060</v>
      </c>
      <c r="HK95" s="23">
        <f t="shared" si="304"/>
        <v>2.2624434389140333</v>
      </c>
      <c r="HL95" s="24" t="s">
        <v>1</v>
      </c>
      <c r="HM95" s="23">
        <f t="shared" si="375"/>
        <v>11.258955275787713</v>
      </c>
      <c r="HN95" s="23">
        <f t="shared" si="376"/>
        <v>10.719754977029098</v>
      </c>
      <c r="HO95" s="23"/>
      <c r="HP95" s="19">
        <f>HP93+HP94</f>
        <v>781.4</v>
      </c>
      <c r="HQ95" s="6" t="s">
        <v>1</v>
      </c>
      <c r="HR95" s="19">
        <f>HR93+HR94</f>
        <v>192370</v>
      </c>
      <c r="HS95" s="19">
        <f>HS93+HS94</f>
        <v>191473</v>
      </c>
      <c r="HT95" s="23">
        <f t="shared" si="306"/>
        <v>1.691827173347221</v>
      </c>
      <c r="HU95" s="24" t="s">
        <v>1</v>
      </c>
      <c r="HV95" s="23">
        <f t="shared" si="370"/>
        <v>20.26357083466182</v>
      </c>
      <c r="HW95" s="23">
        <f t="shared" si="371"/>
        <v>20.377844838425744</v>
      </c>
      <c r="HX95" s="23"/>
      <c r="HY95" s="19">
        <f>HY93+HY94</f>
        <v>783</v>
      </c>
      <c r="HZ95" s="6" t="s">
        <v>1</v>
      </c>
      <c r="IA95" s="19">
        <f>IA93+IA94</f>
        <v>211760</v>
      </c>
      <c r="IB95" s="19">
        <f>IB93+IB94</f>
        <v>210973</v>
      </c>
      <c r="IC95" s="23">
        <f t="shared" si="389"/>
        <v>0.2047606859483011</v>
      </c>
      <c r="ID95" s="24" t="s">
        <v>1</v>
      </c>
      <c r="IE95" s="23">
        <f t="shared" si="383"/>
        <v>10.07953423090919</v>
      </c>
      <c r="IF95" s="23">
        <f t="shared" si="384"/>
        <v>10.184203516944947</v>
      </c>
      <c r="IG95" s="23"/>
      <c r="IH95" s="1" t="s">
        <v>91</v>
      </c>
      <c r="II95" s="29">
        <f t="shared" si="386"/>
        <v>861.61</v>
      </c>
      <c r="IJ95" s="30">
        <f t="shared" si="387"/>
        <v>182.45225518951838</v>
      </c>
      <c r="IK95" s="29">
        <f t="shared" si="388"/>
        <v>173648</v>
      </c>
      <c r="IL95" s="25">
        <f t="shared" si="360"/>
        <v>-9.30931627998747</v>
      </c>
      <c r="IM95" s="25">
        <f t="shared" si="361"/>
        <v>-100</v>
      </c>
      <c r="IN95" s="25">
        <f t="shared" si="362"/>
        <v>10.265018888786514</v>
      </c>
      <c r="IP95" s="30">
        <f>HP95*100/Italia!BR95</f>
        <v>5.954013739797255</v>
      </c>
      <c r="IQ95" s="30">
        <f>HR95*100/Italia!BT95</f>
        <v>7.480510309470777</v>
      </c>
      <c r="IR95" s="30">
        <f>HS95*100/Italia!BU95</f>
        <v>7.655989287300821</v>
      </c>
    </row>
    <row r="96" spans="1:252" ht="12">
      <c r="A96" s="1" t="s">
        <v>92</v>
      </c>
      <c r="B96" s="20">
        <v>80</v>
      </c>
      <c r="C96" s="10">
        <f>D96/B96</f>
        <v>170</v>
      </c>
      <c r="D96" s="11">
        <v>13600</v>
      </c>
      <c r="E96" s="9"/>
      <c r="F96" s="20">
        <v>75</v>
      </c>
      <c r="G96" s="10">
        <v>170</v>
      </c>
      <c r="H96" s="11">
        <v>12700</v>
      </c>
      <c r="I96" s="23">
        <f t="shared" si="349"/>
        <v>-6.25</v>
      </c>
      <c r="J96" s="23">
        <f>G96*100/C96-100</f>
        <v>0</v>
      </c>
      <c r="K96" s="23">
        <f t="shared" si="350"/>
        <v>-6.617647058823536</v>
      </c>
      <c r="L96" s="8"/>
      <c r="M96" s="20">
        <v>86</v>
      </c>
      <c r="N96" s="10">
        <f>O96/M96</f>
        <v>150</v>
      </c>
      <c r="O96" s="11">
        <v>12900</v>
      </c>
      <c r="P96" s="23">
        <f t="shared" si="351"/>
        <v>14.666666666666671</v>
      </c>
      <c r="Q96" s="23">
        <f>N96*100/G96-100</f>
        <v>-11.764705882352942</v>
      </c>
      <c r="R96" s="23">
        <f t="shared" si="352"/>
        <v>1.5748031496062964</v>
      </c>
      <c r="S96" s="8"/>
      <c r="T96" s="20">
        <v>50</v>
      </c>
      <c r="U96" s="10">
        <f>V96/T96</f>
        <v>160</v>
      </c>
      <c r="V96" s="11">
        <v>8000</v>
      </c>
      <c r="W96" s="23">
        <f t="shared" si="311"/>
        <v>-41.86046511627907</v>
      </c>
      <c r="X96" s="23">
        <f>U96*100/N96-100</f>
        <v>6.666666666666671</v>
      </c>
      <c r="Y96" s="23">
        <f t="shared" si="312"/>
        <v>-37.98449612403101</v>
      </c>
      <c r="Z96" s="8"/>
      <c r="AA96" s="20">
        <v>55</v>
      </c>
      <c r="AB96" s="10">
        <f>AC96/AA96</f>
        <v>280</v>
      </c>
      <c r="AC96" s="11">
        <v>15400</v>
      </c>
      <c r="AD96" s="23">
        <f t="shared" si="313"/>
        <v>10</v>
      </c>
      <c r="AE96" s="23">
        <f>AB96*100/U96-100</f>
        <v>75</v>
      </c>
      <c r="AF96" s="23">
        <f t="shared" si="314"/>
        <v>92.5</v>
      </c>
      <c r="AG96" s="8"/>
      <c r="AH96" s="20">
        <v>57</v>
      </c>
      <c r="AI96" s="10">
        <v>270</v>
      </c>
      <c r="AJ96" s="11">
        <v>15400</v>
      </c>
      <c r="AK96" s="23">
        <f t="shared" si="315"/>
        <v>3.6363636363636402</v>
      </c>
      <c r="AL96" s="23">
        <f>AI96*100/AB96-100</f>
        <v>-3.5714285714285694</v>
      </c>
      <c r="AM96" s="23">
        <f t="shared" si="316"/>
        <v>0</v>
      </c>
      <c r="AN96" s="8"/>
      <c r="AO96" s="20">
        <v>59</v>
      </c>
      <c r="AP96" s="10">
        <v>260</v>
      </c>
      <c r="AQ96" s="11">
        <v>15300</v>
      </c>
      <c r="AR96" s="23">
        <f t="shared" si="317"/>
        <v>3.5087719298245617</v>
      </c>
      <c r="AS96" s="23">
        <f>AP96*100/AI96-100</f>
        <v>-3.7037037037037095</v>
      </c>
      <c r="AT96" s="23">
        <f t="shared" si="318"/>
        <v>-0.6493506493506516</v>
      </c>
      <c r="AU96" s="8"/>
      <c r="AV96" s="20">
        <v>60</v>
      </c>
      <c r="AW96" s="10">
        <v>260</v>
      </c>
      <c r="AX96" s="11">
        <v>15600</v>
      </c>
      <c r="AY96" s="23">
        <f t="shared" si="319"/>
        <v>1.6949152542372872</v>
      </c>
      <c r="AZ96" s="23">
        <f>AW96*100/AP96-100</f>
        <v>0</v>
      </c>
      <c r="BA96" s="23">
        <f t="shared" si="320"/>
        <v>1.9607843137254832</v>
      </c>
      <c r="BB96" s="8"/>
      <c r="BC96" s="20">
        <v>62</v>
      </c>
      <c r="BD96" s="10">
        <v>258</v>
      </c>
      <c r="BE96" s="11">
        <v>15996</v>
      </c>
      <c r="BF96" s="23">
        <f t="shared" si="321"/>
        <v>3.3333333333333286</v>
      </c>
      <c r="BG96" s="23">
        <f>BD96*100/AW96-100</f>
        <v>-0.7692307692307736</v>
      </c>
      <c r="BH96" s="23">
        <f t="shared" si="322"/>
        <v>2.538461538461533</v>
      </c>
      <c r="BI96" s="8"/>
      <c r="BJ96" s="20">
        <v>63</v>
      </c>
      <c r="BK96" s="10">
        <v>265</v>
      </c>
      <c r="BL96" s="11">
        <v>16695</v>
      </c>
      <c r="BM96" s="23">
        <f t="shared" si="353"/>
        <v>1.6129032258064484</v>
      </c>
      <c r="BN96" s="23">
        <f>BK96*100/BD96-100</f>
        <v>2.7131782945736376</v>
      </c>
      <c r="BO96" s="23">
        <f t="shared" si="323"/>
        <v>4.3698424606151605</v>
      </c>
      <c r="BP96" s="8"/>
      <c r="BQ96" s="20">
        <v>65</v>
      </c>
      <c r="BR96" s="10">
        <v>270</v>
      </c>
      <c r="BS96" s="11">
        <v>17550</v>
      </c>
      <c r="BT96" s="23">
        <f t="shared" si="354"/>
        <v>3.1746031746031775</v>
      </c>
      <c r="BU96" s="23">
        <f>BR96*100/BK96-100</f>
        <v>1.8867924528301927</v>
      </c>
      <c r="BV96" s="23">
        <f t="shared" si="324"/>
        <v>5.121293800539078</v>
      </c>
      <c r="BW96" s="8"/>
      <c r="BX96" s="20">
        <v>65</v>
      </c>
      <c r="BY96" s="10">
        <v>270</v>
      </c>
      <c r="BZ96" s="11">
        <v>17550</v>
      </c>
      <c r="CA96" s="23">
        <f t="shared" si="325"/>
        <v>0</v>
      </c>
      <c r="CB96" s="23">
        <f>BY96*100/BR96-100</f>
        <v>0</v>
      </c>
      <c r="CC96" s="23">
        <f t="shared" si="326"/>
        <v>0</v>
      </c>
      <c r="CD96" s="8"/>
      <c r="CE96" s="20">
        <v>66</v>
      </c>
      <c r="CF96" s="10">
        <v>274.7</v>
      </c>
      <c r="CG96" s="11">
        <v>18130</v>
      </c>
      <c r="CH96" s="23">
        <f t="shared" si="327"/>
        <v>1.538461538461533</v>
      </c>
      <c r="CI96" s="23">
        <f>CF96*100/BY96-100</f>
        <v>1.7407407407407476</v>
      </c>
      <c r="CJ96" s="23">
        <f t="shared" si="328"/>
        <v>3.3048433048433026</v>
      </c>
      <c r="CK96" s="8"/>
      <c r="CL96" s="20">
        <v>67</v>
      </c>
      <c r="CM96" s="10">
        <v>274.8</v>
      </c>
      <c r="CN96" s="11">
        <v>18410</v>
      </c>
      <c r="CO96" s="23">
        <f t="shared" si="329"/>
        <v>1.5151515151515156</v>
      </c>
      <c r="CP96" s="23">
        <f>CM96*100/CF96-100</f>
        <v>0.03640334910812726</v>
      </c>
      <c r="CQ96" s="23">
        <f t="shared" si="330"/>
        <v>1.5444015444015378</v>
      </c>
      <c r="CR96" s="8"/>
      <c r="CS96" s="20">
        <v>33</v>
      </c>
      <c r="CT96" s="10">
        <v>280</v>
      </c>
      <c r="CU96" s="11">
        <v>9240</v>
      </c>
      <c r="CV96" s="23">
        <f t="shared" si="331"/>
        <v>-50.74626865671642</v>
      </c>
      <c r="CW96" s="23">
        <f>CT96*100/CM96-100</f>
        <v>1.892285298398832</v>
      </c>
      <c r="CX96" s="23">
        <f t="shared" si="332"/>
        <v>-49.80988593155894</v>
      </c>
      <c r="CY96" s="8"/>
      <c r="CZ96" s="20">
        <v>65</v>
      </c>
      <c r="DA96" s="10">
        <v>275.4</v>
      </c>
      <c r="DB96" s="11">
        <v>17900</v>
      </c>
      <c r="DC96" s="23">
        <f t="shared" si="333"/>
        <v>96.96969696969697</v>
      </c>
      <c r="DD96" s="23">
        <f>DA96*100/CT96-100</f>
        <v>-1.642857142857153</v>
      </c>
      <c r="DE96" s="23">
        <f t="shared" si="334"/>
        <v>93.72294372294371</v>
      </c>
      <c r="DF96" s="8"/>
      <c r="DG96" s="20">
        <v>64</v>
      </c>
      <c r="DH96" s="10">
        <v>270</v>
      </c>
      <c r="DI96" s="11">
        <v>17280</v>
      </c>
      <c r="DJ96" s="23">
        <f t="shared" si="335"/>
        <v>-1.538461538461533</v>
      </c>
      <c r="DK96" s="23">
        <f>DH96*100/DA96-100</f>
        <v>-1.9607843137254832</v>
      </c>
      <c r="DL96" s="23">
        <f t="shared" si="336"/>
        <v>-3.463687150837984</v>
      </c>
      <c r="DM96" s="8"/>
      <c r="DN96" s="20">
        <v>36</v>
      </c>
      <c r="DO96" s="10">
        <v>265</v>
      </c>
      <c r="DP96" s="11">
        <v>9540</v>
      </c>
      <c r="DQ96" s="23">
        <f t="shared" si="337"/>
        <v>-43.75</v>
      </c>
      <c r="DR96" s="23">
        <f>DO96*100/DH96-100</f>
        <v>-1.8518518518518476</v>
      </c>
      <c r="DS96" s="23">
        <f t="shared" si="338"/>
        <v>-44.791666666666664</v>
      </c>
      <c r="DT96" s="8"/>
      <c r="DU96" s="20">
        <v>35</v>
      </c>
      <c r="DV96" s="10">
        <v>260</v>
      </c>
      <c r="DW96" s="11">
        <v>9100</v>
      </c>
      <c r="DX96" s="23">
        <f t="shared" si="339"/>
        <v>-2.7777777777777715</v>
      </c>
      <c r="DY96" s="23">
        <f>DV96*100/DO96-100</f>
        <v>-1.8867924528301927</v>
      </c>
      <c r="DZ96" s="23">
        <f t="shared" si="340"/>
        <v>-4.612159329140468</v>
      </c>
      <c r="EA96" s="8"/>
      <c r="EB96" s="20">
        <v>33</v>
      </c>
      <c r="EC96" s="10">
        <v>280</v>
      </c>
      <c r="ED96" s="11">
        <v>9240</v>
      </c>
      <c r="EE96" s="23">
        <f t="shared" si="341"/>
        <v>-5.714285714285708</v>
      </c>
      <c r="EF96" s="23">
        <f>EC96*100/DV96-100</f>
        <v>7.692307692307693</v>
      </c>
      <c r="EG96" s="23">
        <f t="shared" si="342"/>
        <v>1.538461538461533</v>
      </c>
      <c r="EH96" s="8"/>
      <c r="EI96" s="20">
        <v>62</v>
      </c>
      <c r="EJ96" s="10">
        <v>321</v>
      </c>
      <c r="EK96" s="11">
        <v>19900</v>
      </c>
      <c r="EL96" s="23">
        <f t="shared" si="343"/>
        <v>87.87878787878788</v>
      </c>
      <c r="EM96" s="23">
        <f>EJ96*100/EC96-100</f>
        <v>14.642857142857139</v>
      </c>
      <c r="EN96" s="23">
        <f t="shared" si="344"/>
        <v>115.36796536796535</v>
      </c>
      <c r="EO96" s="8"/>
      <c r="EP96" s="20">
        <v>33</v>
      </c>
      <c r="EQ96" s="10">
        <v>300</v>
      </c>
      <c r="ER96" s="11">
        <v>9900</v>
      </c>
      <c r="ES96" s="23">
        <f t="shared" si="345"/>
        <v>-46.774193548387096</v>
      </c>
      <c r="ET96" s="23">
        <f>EQ96*100/EJ96-100</f>
        <v>-6.54205607476635</v>
      </c>
      <c r="EU96" s="23">
        <f t="shared" si="346"/>
        <v>-50.25125628140704</v>
      </c>
      <c r="EV96" s="8"/>
      <c r="EW96" s="20">
        <v>35</v>
      </c>
      <c r="EX96" s="10">
        <f t="shared" si="377"/>
        <v>295</v>
      </c>
      <c r="EY96" s="11">
        <v>10325</v>
      </c>
      <c r="EZ96" s="11">
        <v>10325</v>
      </c>
      <c r="FA96" s="23">
        <f t="shared" si="198"/>
        <v>6.060606060606062</v>
      </c>
      <c r="FB96" s="23">
        <f>EX96*100/EQ96-100</f>
        <v>-1.6666666666666714</v>
      </c>
      <c r="FC96" s="23">
        <f t="shared" si="199"/>
        <v>4.292929292929287</v>
      </c>
      <c r="FD96" s="8"/>
      <c r="FE96" s="20">
        <v>28</v>
      </c>
      <c r="FF96" s="10">
        <f t="shared" si="378"/>
        <v>275</v>
      </c>
      <c r="FG96" s="11">
        <v>7700</v>
      </c>
      <c r="FH96" s="11">
        <v>7700</v>
      </c>
      <c r="FI96" s="23">
        <f t="shared" si="379"/>
        <v>-20</v>
      </c>
      <c r="FJ96" s="23">
        <f t="shared" si="373"/>
        <v>-6.779661016949149</v>
      </c>
      <c r="FK96" s="23">
        <f t="shared" si="373"/>
        <v>-25.423728813559322</v>
      </c>
      <c r="FL96" s="23">
        <f t="shared" si="380"/>
        <v>-25.423728813559322</v>
      </c>
      <c r="FM96" s="23"/>
      <c r="FN96" s="20">
        <v>30</v>
      </c>
      <c r="FO96" s="10">
        <f t="shared" si="220"/>
        <v>282</v>
      </c>
      <c r="FP96" s="11">
        <v>8460</v>
      </c>
      <c r="FQ96" s="11">
        <v>8460</v>
      </c>
      <c r="FR96" s="23">
        <f>FN96*100/FE96-100</f>
        <v>7.142857142857139</v>
      </c>
      <c r="FS96" s="23">
        <f>FO96*100/FF96-100</f>
        <v>2.5454545454545467</v>
      </c>
      <c r="FT96" s="23">
        <f t="shared" si="368"/>
        <v>9.870129870129873</v>
      </c>
      <c r="FU96" s="23">
        <f t="shared" si="368"/>
        <v>9.870129870129873</v>
      </c>
      <c r="FV96" s="23"/>
      <c r="FW96" s="20">
        <v>32</v>
      </c>
      <c r="FX96" s="10">
        <f>FY96/FW96</f>
        <v>280</v>
      </c>
      <c r="FY96" s="20">
        <v>8960</v>
      </c>
      <c r="FZ96" s="20">
        <v>8960</v>
      </c>
      <c r="GA96" s="23">
        <f aca="true" t="shared" si="390" ref="GA96:GD97">FW96*100/FN96-100</f>
        <v>6.666666666666671</v>
      </c>
      <c r="GB96" s="23">
        <f t="shared" si="390"/>
        <v>-0.7092198581560325</v>
      </c>
      <c r="GC96" s="23">
        <f t="shared" si="390"/>
        <v>5.910165484633566</v>
      </c>
      <c r="GD96" s="23">
        <f t="shared" si="390"/>
        <v>5.910165484633566</v>
      </c>
      <c r="GE96" s="23"/>
      <c r="GF96" s="20">
        <v>30</v>
      </c>
      <c r="GG96" s="10">
        <f>GH96/GF96</f>
        <v>275</v>
      </c>
      <c r="GH96" s="20">
        <v>8250</v>
      </c>
      <c r="GI96" s="20">
        <v>8250</v>
      </c>
      <c r="GJ96" s="23">
        <f t="shared" si="300"/>
        <v>-6.25</v>
      </c>
      <c r="GK96" s="23">
        <f t="shared" si="300"/>
        <v>-1.7857142857142918</v>
      </c>
      <c r="GL96" s="23">
        <f t="shared" si="363"/>
        <v>-7.924107142857139</v>
      </c>
      <c r="GM96" s="23">
        <f t="shared" si="363"/>
        <v>-7.924107142857139</v>
      </c>
      <c r="GN96" s="23"/>
      <c r="GO96" s="20">
        <v>20</v>
      </c>
      <c r="GP96" s="10">
        <f>GQ96/GO96</f>
        <v>200</v>
      </c>
      <c r="GQ96" s="20">
        <v>4000</v>
      </c>
      <c r="GR96" s="20">
        <v>4000</v>
      </c>
      <c r="GS96" s="23">
        <f t="shared" si="301"/>
        <v>-33.33333333333333</v>
      </c>
      <c r="GT96" s="23">
        <f t="shared" si="301"/>
        <v>-27.272727272727266</v>
      </c>
      <c r="GU96" s="23">
        <f t="shared" si="364"/>
        <v>-51.515151515151516</v>
      </c>
      <c r="GV96" s="23">
        <f t="shared" si="365"/>
        <v>-51.515151515151516</v>
      </c>
      <c r="GW96" s="23"/>
      <c r="GX96" s="20">
        <v>12</v>
      </c>
      <c r="GY96" s="10">
        <f>GZ96/GX96</f>
        <v>200</v>
      </c>
      <c r="GZ96" s="20">
        <v>2400</v>
      </c>
      <c r="HA96" s="20">
        <v>2400</v>
      </c>
      <c r="HB96" s="23">
        <f t="shared" si="302"/>
        <v>-40</v>
      </c>
      <c r="HC96" s="23">
        <f>GY96*100/GP96-100</f>
        <v>0</v>
      </c>
      <c r="HD96" s="23">
        <f t="shared" si="366"/>
        <v>-40</v>
      </c>
      <c r="HE96" s="23">
        <f t="shared" si="367"/>
        <v>-40</v>
      </c>
      <c r="HF96" s="23"/>
      <c r="HG96" s="20">
        <v>12</v>
      </c>
      <c r="HH96" s="10">
        <f>HI96/HG96</f>
        <v>150</v>
      </c>
      <c r="HI96" s="20">
        <v>1800</v>
      </c>
      <c r="HJ96" s="20">
        <v>1800</v>
      </c>
      <c r="HK96" s="23">
        <f t="shared" si="304"/>
        <v>0</v>
      </c>
      <c r="HL96" s="23">
        <f>HH96*100/GY96-100</f>
        <v>-25</v>
      </c>
      <c r="HM96" s="23">
        <f t="shared" si="375"/>
        <v>-25</v>
      </c>
      <c r="HN96" s="23">
        <f t="shared" si="376"/>
        <v>-25</v>
      </c>
      <c r="HO96" s="23"/>
      <c r="HP96" s="20">
        <v>6</v>
      </c>
      <c r="HQ96" s="10">
        <f>HR96/HP96</f>
        <v>150</v>
      </c>
      <c r="HR96" s="20">
        <v>900</v>
      </c>
      <c r="HS96" s="20">
        <v>900</v>
      </c>
      <c r="HT96" s="23">
        <f t="shared" si="306"/>
        <v>-50</v>
      </c>
      <c r="HU96" s="23">
        <f>HQ96*100/HH96-100</f>
        <v>0</v>
      </c>
      <c r="HV96" s="23">
        <f t="shared" si="370"/>
        <v>-50</v>
      </c>
      <c r="HW96" s="23">
        <f t="shared" si="371"/>
        <v>-50</v>
      </c>
      <c r="HX96" s="23"/>
      <c r="HY96" s="20"/>
      <c r="HZ96" s="10" t="e">
        <f>IA96/HY96</f>
        <v>#DIV/0!</v>
      </c>
      <c r="IA96" s="20"/>
      <c r="IB96" s="20"/>
      <c r="IC96" s="23">
        <f t="shared" si="389"/>
        <v>-100</v>
      </c>
      <c r="ID96" s="23" t="e">
        <f>HZ96*100/HQ96-100</f>
        <v>#DIV/0!</v>
      </c>
      <c r="IE96" s="23">
        <f t="shared" si="383"/>
        <v>-100</v>
      </c>
      <c r="IF96" s="23">
        <f t="shared" si="384"/>
        <v>-100</v>
      </c>
      <c r="IG96" s="23"/>
      <c r="IH96" s="1" t="s">
        <v>92</v>
      </c>
      <c r="II96" s="29">
        <f t="shared" si="386"/>
        <v>29.4</v>
      </c>
      <c r="IJ96" s="30">
        <f t="shared" si="387"/>
        <v>257.8</v>
      </c>
      <c r="IK96" s="29">
        <f t="shared" si="388"/>
        <v>8169.5</v>
      </c>
      <c r="IL96" s="25">
        <f t="shared" si="360"/>
        <v>-79.59183673469389</v>
      </c>
      <c r="IM96" s="25">
        <f t="shared" si="361"/>
        <v>-41.81536074476338</v>
      </c>
      <c r="IN96" s="25">
        <f t="shared" si="362"/>
        <v>-88.98341391762042</v>
      </c>
      <c r="IP96" s="30">
        <f>HP96*100/Italia!BR96</f>
        <v>1.001669449081803</v>
      </c>
      <c r="IQ96" s="30">
        <f>HR96*100/Italia!BT96</f>
        <v>0.6904011230524935</v>
      </c>
      <c r="IR96" s="30">
        <f>HS96*100/Italia!BU96</f>
        <v>0.7389587250498797</v>
      </c>
    </row>
    <row r="97" spans="1:252" ht="12">
      <c r="A97" s="1" t="s">
        <v>93</v>
      </c>
      <c r="B97" s="22">
        <v>41</v>
      </c>
      <c r="C97" s="10">
        <v>403.9</v>
      </c>
      <c r="D97" s="11">
        <v>16510</v>
      </c>
      <c r="E97" s="9"/>
      <c r="F97" s="22">
        <v>43.4</v>
      </c>
      <c r="G97" s="10">
        <v>408.5</v>
      </c>
      <c r="H97" s="11">
        <v>17660</v>
      </c>
      <c r="I97" s="23">
        <f t="shared" si="349"/>
        <v>5.853658536585371</v>
      </c>
      <c r="J97" s="23">
        <f>G97*100/C97-100</f>
        <v>1.138895766278793</v>
      </c>
      <c r="K97" s="23">
        <f t="shared" si="350"/>
        <v>6.965475469412482</v>
      </c>
      <c r="L97" s="8"/>
      <c r="M97" s="22">
        <v>46.7</v>
      </c>
      <c r="N97" s="10">
        <f>18760/M97</f>
        <v>401.71306209850104</v>
      </c>
      <c r="O97" s="11">
        <v>18665</v>
      </c>
      <c r="P97" s="23">
        <f t="shared" si="351"/>
        <v>7.6036866359446975</v>
      </c>
      <c r="Q97" s="23">
        <f>N97*100/G97-100</f>
        <v>-1.6614291068540865</v>
      </c>
      <c r="R97" s="23">
        <f t="shared" si="352"/>
        <v>5.6908267270668205</v>
      </c>
      <c r="S97" s="8"/>
      <c r="T97" s="22">
        <v>42.5</v>
      </c>
      <c r="U97" s="10">
        <f>25540/T97</f>
        <v>600.9411764705883</v>
      </c>
      <c r="V97" s="11">
        <v>25438</v>
      </c>
      <c r="W97" s="23">
        <f t="shared" si="311"/>
        <v>-8.993576017130621</v>
      </c>
      <c r="X97" s="23">
        <f>U97*100/N97-100</f>
        <v>49.59463188260381</v>
      </c>
      <c r="Y97" s="23">
        <f t="shared" si="312"/>
        <v>36.28716849718725</v>
      </c>
      <c r="Z97" s="8"/>
      <c r="AA97" s="22">
        <v>40.7</v>
      </c>
      <c r="AB97" s="10">
        <f>25488/AA97</f>
        <v>626.2407862407862</v>
      </c>
      <c r="AC97" s="11">
        <v>25403</v>
      </c>
      <c r="AD97" s="23">
        <f t="shared" si="313"/>
        <v>-4.235294117647044</v>
      </c>
      <c r="AE97" s="23">
        <f>AB97*100/U97-100</f>
        <v>4.209997710389231</v>
      </c>
      <c r="AF97" s="23">
        <f t="shared" si="314"/>
        <v>-0.13758943313153793</v>
      </c>
      <c r="AG97" s="8"/>
      <c r="AH97" s="22">
        <v>31</v>
      </c>
      <c r="AI97" s="10">
        <f>16480/AH97</f>
        <v>531.6129032258065</v>
      </c>
      <c r="AJ97" s="11">
        <v>16470</v>
      </c>
      <c r="AK97" s="23">
        <f t="shared" si="315"/>
        <v>-23.83292383292384</v>
      </c>
      <c r="AL97" s="23">
        <f>AI97*100/AB97-100</f>
        <v>-15.110463114837088</v>
      </c>
      <c r="AM97" s="23">
        <f t="shared" si="316"/>
        <v>-35.16513797582962</v>
      </c>
      <c r="AN97" s="8"/>
      <c r="AO97" s="22">
        <v>28.7</v>
      </c>
      <c r="AP97" s="10">
        <f>15490/AO97</f>
        <v>539.7212543554007</v>
      </c>
      <c r="AQ97" s="11">
        <v>15485</v>
      </c>
      <c r="AR97" s="23">
        <f t="shared" si="317"/>
        <v>-7.41935483870968</v>
      </c>
      <c r="AS97" s="23">
        <f>AP97*100/AI97-100</f>
        <v>1.5252359527756028</v>
      </c>
      <c r="AT97" s="23">
        <f t="shared" si="318"/>
        <v>-5.980570734669101</v>
      </c>
      <c r="AU97" s="8"/>
      <c r="AV97" s="22">
        <v>26</v>
      </c>
      <c r="AW97" s="10">
        <f>AX97/AV97</f>
        <v>578.4615384615385</v>
      </c>
      <c r="AX97" s="11">
        <v>15040</v>
      </c>
      <c r="AY97" s="23">
        <f t="shared" si="319"/>
        <v>-9.407665505226475</v>
      </c>
      <c r="AZ97" s="23">
        <f>AW97*100/AP97-100</f>
        <v>7.177831851815071</v>
      </c>
      <c r="BA97" s="23">
        <f t="shared" si="320"/>
        <v>-2.8737487891507953</v>
      </c>
      <c r="BB97" s="8"/>
      <c r="BC97" s="22">
        <v>26</v>
      </c>
      <c r="BD97" s="10">
        <f>BE97/BC97</f>
        <v>578.4615384615385</v>
      </c>
      <c r="BE97" s="11">
        <v>15040</v>
      </c>
      <c r="BF97" s="23">
        <f t="shared" si="321"/>
        <v>0</v>
      </c>
      <c r="BG97" s="23">
        <f>BD97*100/AW97-100</f>
        <v>0</v>
      </c>
      <c r="BH97" s="23">
        <f t="shared" si="322"/>
        <v>0</v>
      </c>
      <c r="BI97" s="8"/>
      <c r="BJ97" s="22">
        <v>21.5</v>
      </c>
      <c r="BK97" s="10">
        <f>BL97/BJ97</f>
        <v>575.5813953488372</v>
      </c>
      <c r="BL97" s="11">
        <v>12375</v>
      </c>
      <c r="BM97" s="23">
        <f t="shared" si="353"/>
        <v>-17.307692307692307</v>
      </c>
      <c r="BN97" s="23">
        <f>BK97*100/BD97-100</f>
        <v>-0.4978970806531464</v>
      </c>
      <c r="BO97" s="23">
        <f t="shared" si="323"/>
        <v>-17.719414893617028</v>
      </c>
      <c r="BP97" s="8"/>
      <c r="BQ97" s="22">
        <v>22.7</v>
      </c>
      <c r="BR97" s="10">
        <f>BS97/BQ97</f>
        <v>574.669603524229</v>
      </c>
      <c r="BS97" s="11">
        <v>13045</v>
      </c>
      <c r="BT97" s="23">
        <f t="shared" si="354"/>
        <v>5.581395348837205</v>
      </c>
      <c r="BU97" s="23">
        <f>BR97*100/BK97-100</f>
        <v>-0.1584123170026288</v>
      </c>
      <c r="BV97" s="23">
        <f t="shared" si="324"/>
        <v>5.414141414141412</v>
      </c>
      <c r="BW97" s="8"/>
      <c r="BX97" s="22">
        <v>26.6</v>
      </c>
      <c r="BY97" s="10">
        <f>BZ97/BX97</f>
        <v>369.17293233082705</v>
      </c>
      <c r="BZ97" s="11">
        <v>9820</v>
      </c>
      <c r="CA97" s="23">
        <f t="shared" si="325"/>
        <v>17.180616740088112</v>
      </c>
      <c r="CB97" s="23">
        <f>BY97*100/BR97-100</f>
        <v>-35.759098781833856</v>
      </c>
      <c r="CC97" s="23">
        <f t="shared" si="326"/>
        <v>-24.72211575316213</v>
      </c>
      <c r="CD97" s="8"/>
      <c r="CE97" s="22">
        <v>27.75</v>
      </c>
      <c r="CF97" s="10">
        <f>CG97/CE97</f>
        <v>376.14414414414415</v>
      </c>
      <c r="CG97" s="11">
        <v>10438</v>
      </c>
      <c r="CH97" s="23">
        <f t="shared" si="327"/>
        <v>4.323308270676691</v>
      </c>
      <c r="CI97" s="23">
        <f>CF97*100/BY97-100</f>
        <v>1.88833232417754</v>
      </c>
      <c r="CJ97" s="23">
        <f t="shared" si="328"/>
        <v>6.293279022403254</v>
      </c>
      <c r="CK97" s="8"/>
      <c r="CL97" s="22">
        <v>28.5</v>
      </c>
      <c r="CM97" s="10">
        <f>CN97/CL97</f>
        <v>385.0877192982456</v>
      </c>
      <c r="CN97" s="11">
        <v>10975</v>
      </c>
      <c r="CO97" s="23">
        <f t="shared" si="329"/>
        <v>2.702702702702709</v>
      </c>
      <c r="CP97" s="23">
        <f>CM97*100/CF97-100</f>
        <v>2.3776988937182892</v>
      </c>
      <c r="CQ97" s="23">
        <f t="shared" si="330"/>
        <v>5.144663728683653</v>
      </c>
      <c r="CR97" s="8"/>
      <c r="CS97" s="22">
        <v>13.7</v>
      </c>
      <c r="CT97" s="10">
        <f>8071/CS97</f>
        <v>589.1240875912409</v>
      </c>
      <c r="CU97" s="11">
        <v>8071</v>
      </c>
      <c r="CV97" s="23">
        <f t="shared" si="331"/>
        <v>-51.92982456140351</v>
      </c>
      <c r="CW97" s="23">
        <f>CT97*100/CM97-100</f>
        <v>52.984387210481714</v>
      </c>
      <c r="CX97" s="23">
        <f t="shared" si="332"/>
        <v>-26.460136674259687</v>
      </c>
      <c r="CY97" s="8"/>
      <c r="CZ97" s="22">
        <v>26.6</v>
      </c>
      <c r="DA97" s="10">
        <f>DB97/CZ97</f>
        <v>368.796992481203</v>
      </c>
      <c r="DB97" s="11">
        <v>9810</v>
      </c>
      <c r="DC97" s="23">
        <f t="shared" si="333"/>
        <v>94.16058394160584</v>
      </c>
      <c r="DD97" s="23">
        <f>DA97*100/CT97-100</f>
        <v>-37.3990980424671</v>
      </c>
      <c r="DE97" s="23">
        <f t="shared" si="334"/>
        <v>21.546276793458063</v>
      </c>
      <c r="DF97" s="8"/>
      <c r="DG97" s="22">
        <v>22.5</v>
      </c>
      <c r="DH97" s="10">
        <f>DI97/DG97</f>
        <v>416.6666666666667</v>
      </c>
      <c r="DI97" s="11">
        <v>9375</v>
      </c>
      <c r="DJ97" s="23">
        <f t="shared" si="335"/>
        <v>-15.413533834586474</v>
      </c>
      <c r="DK97" s="23">
        <f>DH97*100/DA97-100</f>
        <v>12.979952429493721</v>
      </c>
      <c r="DL97" s="23">
        <f t="shared" si="336"/>
        <v>-4.4342507645259985</v>
      </c>
      <c r="DM97" s="8"/>
      <c r="DN97" s="22">
        <v>24.5</v>
      </c>
      <c r="DO97" s="10">
        <f>DP97/DN97</f>
        <v>513.265306122449</v>
      </c>
      <c r="DP97" s="11">
        <v>12575</v>
      </c>
      <c r="DQ97" s="23">
        <f t="shared" si="337"/>
        <v>8.888888888888886</v>
      </c>
      <c r="DR97" s="23">
        <f>DO97*100/DH97-100</f>
        <v>23.18367346938777</v>
      </c>
      <c r="DS97" s="23">
        <f t="shared" si="338"/>
        <v>34.133333333333326</v>
      </c>
      <c r="DT97" s="8"/>
      <c r="DU97" s="22">
        <v>17.5</v>
      </c>
      <c r="DV97" s="10">
        <f>DW97/DU97</f>
        <v>583.7142857142857</v>
      </c>
      <c r="DW97" s="11">
        <v>10215</v>
      </c>
      <c r="DX97" s="23">
        <f t="shared" si="339"/>
        <v>-28.57142857142857</v>
      </c>
      <c r="DY97" s="23">
        <f>DV97*100/DO97-100</f>
        <v>13.725646123260418</v>
      </c>
      <c r="DZ97" s="23">
        <f t="shared" si="340"/>
        <v>-18.767395626242546</v>
      </c>
      <c r="EA97" s="8"/>
      <c r="EB97" s="22">
        <v>18</v>
      </c>
      <c r="EC97" s="10">
        <f>ED97/EB97</f>
        <v>591.1111111111111</v>
      </c>
      <c r="ED97" s="11">
        <v>10640</v>
      </c>
      <c r="EE97" s="23">
        <f t="shared" si="341"/>
        <v>2.857142857142861</v>
      </c>
      <c r="EF97" s="23">
        <f>EC97*100/DV97-100</f>
        <v>1.2671996519279958</v>
      </c>
      <c r="EG97" s="23">
        <f t="shared" si="342"/>
        <v>4.160548213411644</v>
      </c>
      <c r="EH97" s="8"/>
      <c r="EI97" s="22">
        <v>19</v>
      </c>
      <c r="EJ97" s="10">
        <f>EK97/EI97</f>
        <v>589.4736842105264</v>
      </c>
      <c r="EK97" s="11">
        <v>11200</v>
      </c>
      <c r="EL97" s="23">
        <f t="shared" si="343"/>
        <v>5.555555555555557</v>
      </c>
      <c r="EM97" s="23">
        <f>EJ97*100/EC97-100</f>
        <v>-0.2770083102493004</v>
      </c>
      <c r="EN97" s="23">
        <f t="shared" si="344"/>
        <v>5.263157894736835</v>
      </c>
      <c r="EO97" s="8"/>
      <c r="EP97" s="22">
        <v>22</v>
      </c>
      <c r="EQ97" s="10">
        <f>12000/EP97</f>
        <v>545.4545454545455</v>
      </c>
      <c r="ER97" s="11">
        <v>11200</v>
      </c>
      <c r="ES97" s="23">
        <f t="shared" si="345"/>
        <v>15.78947368421052</v>
      </c>
      <c r="ET97" s="23">
        <f>EQ97*100/EJ97-100</f>
        <v>-7.467532467532465</v>
      </c>
      <c r="EU97" s="23">
        <f t="shared" si="346"/>
        <v>0</v>
      </c>
      <c r="EV97" s="8"/>
      <c r="EW97" s="22">
        <v>26</v>
      </c>
      <c r="EX97" s="10">
        <f t="shared" si="377"/>
        <v>615.3846153846154</v>
      </c>
      <c r="EY97" s="11">
        <v>16000</v>
      </c>
      <c r="EZ97" s="11">
        <v>16000</v>
      </c>
      <c r="FA97" s="23">
        <f t="shared" si="198"/>
        <v>18.181818181818187</v>
      </c>
      <c r="FB97" s="23">
        <f>EX97*100/EQ97-100</f>
        <v>12.820512820512818</v>
      </c>
      <c r="FC97" s="23">
        <f t="shared" si="199"/>
        <v>42.85714285714286</v>
      </c>
      <c r="FD97" s="8"/>
      <c r="FE97" s="22">
        <v>28</v>
      </c>
      <c r="FF97" s="10">
        <f t="shared" si="378"/>
        <v>614.2857142857143</v>
      </c>
      <c r="FG97" s="11">
        <v>17200</v>
      </c>
      <c r="FH97" s="11">
        <v>17200</v>
      </c>
      <c r="FI97" s="23">
        <f t="shared" si="379"/>
        <v>7.692307692307693</v>
      </c>
      <c r="FJ97" s="23">
        <f t="shared" si="373"/>
        <v>-0.1785714285714164</v>
      </c>
      <c r="FK97" s="23">
        <f t="shared" si="373"/>
        <v>7.5</v>
      </c>
      <c r="FL97" s="23">
        <f t="shared" si="380"/>
        <v>7.5</v>
      </c>
      <c r="FM97" s="23"/>
      <c r="FN97" s="22">
        <v>29.5</v>
      </c>
      <c r="FO97" s="10">
        <f t="shared" si="220"/>
        <v>530.5084745762712</v>
      </c>
      <c r="FP97" s="11">
        <v>15650</v>
      </c>
      <c r="FQ97" s="11">
        <v>15650</v>
      </c>
      <c r="FR97" s="23">
        <f>FN97*100/FE97-100</f>
        <v>5.357142857142861</v>
      </c>
      <c r="FS97" s="23">
        <f>FO97*100/FF97-100</f>
        <v>-13.638155301537253</v>
      </c>
      <c r="FT97" s="23">
        <f t="shared" si="368"/>
        <v>-9.011627906976742</v>
      </c>
      <c r="FU97" s="23">
        <f t="shared" si="368"/>
        <v>-9.011627906976742</v>
      </c>
      <c r="FV97" s="23"/>
      <c r="FW97" s="22">
        <v>29.5</v>
      </c>
      <c r="FX97" s="10">
        <f>FY97/FW97</f>
        <v>530.5084745762712</v>
      </c>
      <c r="FY97" s="20">
        <v>15650</v>
      </c>
      <c r="FZ97" s="20">
        <v>15650</v>
      </c>
      <c r="GA97" s="23">
        <f t="shared" si="390"/>
        <v>0</v>
      </c>
      <c r="GB97" s="23">
        <f t="shared" si="390"/>
        <v>0</v>
      </c>
      <c r="GC97" s="23">
        <f t="shared" si="390"/>
        <v>0</v>
      </c>
      <c r="GD97" s="23">
        <f t="shared" si="390"/>
        <v>0</v>
      </c>
      <c r="GE97" s="23"/>
      <c r="GF97" s="22">
        <v>7.5</v>
      </c>
      <c r="GG97" s="10">
        <f>GH97/GF97</f>
        <v>580</v>
      </c>
      <c r="GH97" s="20">
        <v>4350</v>
      </c>
      <c r="GI97" s="20">
        <v>4350</v>
      </c>
      <c r="GJ97" s="23">
        <f t="shared" si="300"/>
        <v>-74.57627118644068</v>
      </c>
      <c r="GK97" s="23">
        <f t="shared" si="300"/>
        <v>9.329073482428115</v>
      </c>
      <c r="GL97" s="23">
        <f t="shared" si="363"/>
        <v>-72.20447284345047</v>
      </c>
      <c r="GM97" s="23">
        <f t="shared" si="363"/>
        <v>-72.20447284345047</v>
      </c>
      <c r="GN97" s="23"/>
      <c r="GO97" s="22">
        <v>3.1</v>
      </c>
      <c r="GP97" s="10">
        <f>GQ97/GO97</f>
        <v>400</v>
      </c>
      <c r="GQ97" s="20">
        <v>1240</v>
      </c>
      <c r="GR97" s="20">
        <v>1240</v>
      </c>
      <c r="GS97" s="23">
        <f t="shared" si="301"/>
        <v>-58.666666666666664</v>
      </c>
      <c r="GT97" s="23">
        <f t="shared" si="301"/>
        <v>-31.034482758620683</v>
      </c>
      <c r="GU97" s="23">
        <f t="shared" si="364"/>
        <v>-71.49425287356323</v>
      </c>
      <c r="GV97" s="23">
        <f t="shared" si="365"/>
        <v>-71.49425287356323</v>
      </c>
      <c r="GW97" s="23"/>
      <c r="GX97" s="22">
        <v>3</v>
      </c>
      <c r="GY97" s="10">
        <f>GZ97/GX97</f>
        <v>300</v>
      </c>
      <c r="GZ97" s="20">
        <v>900</v>
      </c>
      <c r="HA97" s="20">
        <v>900</v>
      </c>
      <c r="HB97" s="23">
        <f t="shared" si="302"/>
        <v>-3.225806451612911</v>
      </c>
      <c r="HC97" s="23">
        <f>GY97*100/GP97-100</f>
        <v>-25</v>
      </c>
      <c r="HD97" s="23">
        <f t="shared" si="366"/>
        <v>-27.41935483870968</v>
      </c>
      <c r="HE97" s="23">
        <f t="shared" si="367"/>
        <v>-27.41935483870968</v>
      </c>
      <c r="HF97" s="23"/>
      <c r="HG97" s="22">
        <v>4.2</v>
      </c>
      <c r="HH97" s="10">
        <f>HI97/HG97</f>
        <v>363.8095238095238</v>
      </c>
      <c r="HI97" s="20">
        <v>1528</v>
      </c>
      <c r="HJ97" s="20">
        <v>1528</v>
      </c>
      <c r="HK97" s="23">
        <f t="shared" si="304"/>
        <v>40</v>
      </c>
      <c r="HL97" s="23">
        <f>HH97*100/GY97-100</f>
        <v>21.269841269841265</v>
      </c>
      <c r="HM97" s="23">
        <f t="shared" si="375"/>
        <v>69.77777777777777</v>
      </c>
      <c r="HN97" s="23">
        <f t="shared" si="376"/>
        <v>69.77777777777777</v>
      </c>
      <c r="HO97" s="23"/>
      <c r="HP97" s="22">
        <v>3.4</v>
      </c>
      <c r="HQ97" s="10">
        <f>HR97/HP97</f>
        <v>322.64705882352945</v>
      </c>
      <c r="HR97" s="20">
        <v>1097</v>
      </c>
      <c r="HS97" s="20">
        <v>1097</v>
      </c>
      <c r="HT97" s="23">
        <f t="shared" si="306"/>
        <v>-19.04761904761905</v>
      </c>
      <c r="HU97" s="23">
        <f>HQ97*100/HH97-100</f>
        <v>-11.31429011395133</v>
      </c>
      <c r="HV97" s="23">
        <f t="shared" si="370"/>
        <v>-28.20680628272251</v>
      </c>
      <c r="HW97" s="23">
        <f t="shared" si="371"/>
        <v>-28.20680628272251</v>
      </c>
      <c r="HX97" s="23"/>
      <c r="HY97" s="22"/>
      <c r="HZ97" s="10" t="e">
        <f>IA97/HY97</f>
        <v>#DIV/0!</v>
      </c>
      <c r="IA97" s="20"/>
      <c r="IB97" s="20"/>
      <c r="IC97" s="23">
        <f t="shared" si="389"/>
        <v>-100</v>
      </c>
      <c r="ID97" s="23" t="e">
        <f>HZ97*100/HQ97-100</f>
        <v>#DIV/0!</v>
      </c>
      <c r="IE97" s="23">
        <f t="shared" si="383"/>
        <v>-100</v>
      </c>
      <c r="IF97" s="23">
        <f t="shared" si="384"/>
        <v>-100</v>
      </c>
      <c r="IG97" s="23"/>
      <c r="IH97" s="1" t="s">
        <v>93</v>
      </c>
      <c r="II97" s="29">
        <f t="shared" si="386"/>
        <v>17.18</v>
      </c>
      <c r="IJ97" s="30">
        <f t="shared" si="387"/>
        <v>506.94250322974665</v>
      </c>
      <c r="IK97" s="29">
        <f t="shared" si="388"/>
        <v>9491.8</v>
      </c>
      <c r="IL97" s="25">
        <f t="shared" si="360"/>
        <v>-80.20954598370199</v>
      </c>
      <c r="IM97" s="25">
        <f t="shared" si="361"/>
        <v>-36.35430906504488</v>
      </c>
      <c r="IN97" s="25">
        <f t="shared" si="362"/>
        <v>-88.44265576602962</v>
      </c>
      <c r="IP97" s="30">
        <f>HP97*100/Italia!BR97</f>
        <v>0.7770007770007771</v>
      </c>
      <c r="IQ97" s="30">
        <f>HR97*100/Italia!BT97</f>
        <v>0.5723737073328533</v>
      </c>
      <c r="IR97" s="30">
        <f>HS97*100/Italia!BU97</f>
        <v>0.6150378722044371</v>
      </c>
    </row>
    <row r="98" spans="1:252" ht="12">
      <c r="A98" s="1" t="s">
        <v>94</v>
      </c>
      <c r="B98" s="19">
        <f>B97+B96</f>
        <v>121</v>
      </c>
      <c r="C98" s="6" t="s">
        <v>1</v>
      </c>
      <c r="D98" s="9">
        <f>D97+D96</f>
        <v>30110</v>
      </c>
      <c r="E98" s="9"/>
      <c r="F98" s="19">
        <f>F96+F97</f>
        <v>118.4</v>
      </c>
      <c r="G98" s="6" t="s">
        <v>1</v>
      </c>
      <c r="H98" s="9">
        <f>H97+H96</f>
        <v>30360</v>
      </c>
      <c r="I98" s="23">
        <f t="shared" si="349"/>
        <v>-2.1487603305785115</v>
      </c>
      <c r="J98" s="24" t="s">
        <v>1</v>
      </c>
      <c r="K98" s="23">
        <f t="shared" si="350"/>
        <v>0.8302889405513127</v>
      </c>
      <c r="L98" s="8"/>
      <c r="M98" s="19">
        <f>M96+M97</f>
        <v>132.7</v>
      </c>
      <c r="N98" s="6" t="s">
        <v>1</v>
      </c>
      <c r="O98" s="9">
        <f>O97+O96</f>
        <v>31565</v>
      </c>
      <c r="P98" s="23">
        <f t="shared" si="351"/>
        <v>12.07770270270268</v>
      </c>
      <c r="Q98" s="24" t="s">
        <v>1</v>
      </c>
      <c r="R98" s="23">
        <f t="shared" si="352"/>
        <v>3.969038208168641</v>
      </c>
      <c r="S98" s="8"/>
      <c r="T98" s="19">
        <f>T96+T97</f>
        <v>92.5</v>
      </c>
      <c r="U98" s="6" t="s">
        <v>1</v>
      </c>
      <c r="V98" s="9">
        <f>V97+V96</f>
        <v>33438</v>
      </c>
      <c r="W98" s="23">
        <f aca="true" t="shared" si="391" ref="W98:W104">T98*100/M98-100</f>
        <v>-30.293896006028632</v>
      </c>
      <c r="X98" s="24" t="s">
        <v>1</v>
      </c>
      <c r="Y98" s="23">
        <f aca="true" t="shared" si="392" ref="Y98:Y104">V98*100/O98-100</f>
        <v>5.933787422778394</v>
      </c>
      <c r="Z98" s="8"/>
      <c r="AA98" s="19">
        <f>AA96+AA97</f>
        <v>95.7</v>
      </c>
      <c r="AB98" s="6" t="s">
        <v>1</v>
      </c>
      <c r="AC98" s="9">
        <f>AC97+AC96</f>
        <v>40803</v>
      </c>
      <c r="AD98" s="23">
        <f t="shared" si="313"/>
        <v>3.4594594594594525</v>
      </c>
      <c r="AE98" s="24" t="s">
        <v>1</v>
      </c>
      <c r="AF98" s="23">
        <f t="shared" si="314"/>
        <v>22.02583886596088</v>
      </c>
      <c r="AG98" s="8"/>
      <c r="AH98" s="19">
        <f>AH96+AH97</f>
        <v>88</v>
      </c>
      <c r="AI98" s="6" t="s">
        <v>1</v>
      </c>
      <c r="AJ98" s="9">
        <f>AJ97+AJ96</f>
        <v>31870</v>
      </c>
      <c r="AK98" s="23">
        <f t="shared" si="315"/>
        <v>-8.045977011494259</v>
      </c>
      <c r="AL98" s="24" t="s">
        <v>1</v>
      </c>
      <c r="AM98" s="23">
        <f t="shared" si="316"/>
        <v>-21.89299806386785</v>
      </c>
      <c r="AN98" s="8"/>
      <c r="AO98" s="19">
        <f>AO96+AO97</f>
        <v>87.7</v>
      </c>
      <c r="AP98" s="6" t="s">
        <v>1</v>
      </c>
      <c r="AQ98" s="9">
        <f>AQ97+AQ96</f>
        <v>30785</v>
      </c>
      <c r="AR98" s="23">
        <f t="shared" si="317"/>
        <v>-0.3409090909090935</v>
      </c>
      <c r="AS98" s="24" t="s">
        <v>1</v>
      </c>
      <c r="AT98" s="23">
        <f t="shared" si="318"/>
        <v>-3.4044556008785634</v>
      </c>
      <c r="AU98" s="8"/>
      <c r="AV98" s="19">
        <f>AV96+AV97</f>
        <v>86</v>
      </c>
      <c r="AW98" s="6" t="s">
        <v>1</v>
      </c>
      <c r="AX98" s="9">
        <f>AX97+AX96</f>
        <v>30640</v>
      </c>
      <c r="AY98" s="23">
        <f t="shared" si="319"/>
        <v>-1.9384264538198437</v>
      </c>
      <c r="AZ98" s="24" t="s">
        <v>1</v>
      </c>
      <c r="BA98" s="23">
        <f t="shared" si="320"/>
        <v>-0.4710086080883542</v>
      </c>
      <c r="BB98" s="8"/>
      <c r="BC98" s="19">
        <f>BC96+BC97</f>
        <v>88</v>
      </c>
      <c r="BD98" s="6" t="s">
        <v>1</v>
      </c>
      <c r="BE98" s="9">
        <f>BE97+BE96</f>
        <v>31036</v>
      </c>
      <c r="BF98" s="23">
        <f t="shared" si="321"/>
        <v>2.3255813953488342</v>
      </c>
      <c r="BG98" s="24" t="s">
        <v>1</v>
      </c>
      <c r="BH98" s="23">
        <f t="shared" si="322"/>
        <v>1.2924281984334272</v>
      </c>
      <c r="BI98" s="8"/>
      <c r="BJ98" s="19">
        <f>BJ96+BJ97</f>
        <v>84.5</v>
      </c>
      <c r="BK98" s="6" t="s">
        <v>1</v>
      </c>
      <c r="BL98" s="9">
        <f>BL97+BL96</f>
        <v>29070</v>
      </c>
      <c r="BM98" s="23">
        <f t="shared" si="353"/>
        <v>-3.9772727272727337</v>
      </c>
      <c r="BN98" s="24" t="s">
        <v>1</v>
      </c>
      <c r="BO98" s="23">
        <f t="shared" si="323"/>
        <v>-6.334579198350298</v>
      </c>
      <c r="BP98" s="8"/>
      <c r="BQ98" s="19">
        <f>BQ96+BQ97</f>
        <v>87.7</v>
      </c>
      <c r="BR98" s="6" t="s">
        <v>1</v>
      </c>
      <c r="BS98" s="9">
        <f>BS97+BS96</f>
        <v>30595</v>
      </c>
      <c r="BT98" s="23">
        <f t="shared" si="354"/>
        <v>3.786982248520715</v>
      </c>
      <c r="BU98" s="24" t="s">
        <v>1</v>
      </c>
      <c r="BV98" s="23">
        <f t="shared" si="324"/>
        <v>5.245958032335736</v>
      </c>
      <c r="BW98" s="8"/>
      <c r="BX98" s="19">
        <f>BX96+BX97</f>
        <v>91.6</v>
      </c>
      <c r="BY98" s="6" t="s">
        <v>1</v>
      </c>
      <c r="BZ98" s="9">
        <f>BZ97+BZ96</f>
        <v>27370</v>
      </c>
      <c r="CA98" s="23">
        <f t="shared" si="325"/>
        <v>4.4469783352337515</v>
      </c>
      <c r="CB98" s="24" t="s">
        <v>1</v>
      </c>
      <c r="CC98" s="23">
        <f t="shared" si="326"/>
        <v>-10.540938061774796</v>
      </c>
      <c r="CD98" s="8"/>
      <c r="CE98" s="19">
        <f>CE96+CE97</f>
        <v>93.75</v>
      </c>
      <c r="CF98" s="6" t="s">
        <v>1</v>
      </c>
      <c r="CG98" s="9">
        <f>CG97+CG96</f>
        <v>28568</v>
      </c>
      <c r="CH98" s="23">
        <f t="shared" si="327"/>
        <v>2.347161572052414</v>
      </c>
      <c r="CI98" s="24" t="s">
        <v>1</v>
      </c>
      <c r="CJ98" s="23">
        <f t="shared" si="328"/>
        <v>4.377055169894049</v>
      </c>
      <c r="CK98" s="8"/>
      <c r="CL98" s="19">
        <f>CL96+CL97</f>
        <v>95.5</v>
      </c>
      <c r="CM98" s="6" t="s">
        <v>1</v>
      </c>
      <c r="CN98" s="9">
        <f>CN97+CN96</f>
        <v>29385</v>
      </c>
      <c r="CO98" s="23">
        <f t="shared" si="329"/>
        <v>1.86666666666666</v>
      </c>
      <c r="CP98" s="24" t="s">
        <v>1</v>
      </c>
      <c r="CQ98" s="23">
        <f t="shared" si="330"/>
        <v>2.859843181181745</v>
      </c>
      <c r="CR98" s="8"/>
      <c r="CS98" s="19">
        <f>CS96+CS97</f>
        <v>46.7</v>
      </c>
      <c r="CT98" s="6" t="s">
        <v>1</v>
      </c>
      <c r="CU98" s="9">
        <f>CU97+CU96</f>
        <v>17311</v>
      </c>
      <c r="CV98" s="23">
        <f t="shared" si="331"/>
        <v>-51.09947643979058</v>
      </c>
      <c r="CW98" s="24" t="s">
        <v>1</v>
      </c>
      <c r="CX98" s="23">
        <f t="shared" si="332"/>
        <v>-41.08899098179343</v>
      </c>
      <c r="CY98" s="8"/>
      <c r="CZ98" s="19">
        <f>CZ96+CZ97</f>
        <v>91.6</v>
      </c>
      <c r="DA98" s="6" t="s">
        <v>1</v>
      </c>
      <c r="DB98" s="9">
        <f>DB97+DB96</f>
        <v>27710</v>
      </c>
      <c r="DC98" s="23">
        <f t="shared" si="333"/>
        <v>96.14561027837257</v>
      </c>
      <c r="DD98" s="24" t="s">
        <v>1</v>
      </c>
      <c r="DE98" s="23">
        <f t="shared" si="334"/>
        <v>60.071630755011256</v>
      </c>
      <c r="DF98" s="8"/>
      <c r="DG98" s="19">
        <f>DG96+DG97</f>
        <v>86.5</v>
      </c>
      <c r="DH98" s="6" t="s">
        <v>1</v>
      </c>
      <c r="DI98" s="9">
        <f>DI97+DI96</f>
        <v>26655</v>
      </c>
      <c r="DJ98" s="23">
        <f t="shared" si="335"/>
        <v>-5.567685589519641</v>
      </c>
      <c r="DK98" s="24" t="s">
        <v>1</v>
      </c>
      <c r="DL98" s="23">
        <f t="shared" si="336"/>
        <v>-3.807289787080478</v>
      </c>
      <c r="DM98" s="8"/>
      <c r="DN98" s="19">
        <f>DN96+DN97</f>
        <v>60.5</v>
      </c>
      <c r="DO98" s="6" t="s">
        <v>1</v>
      </c>
      <c r="DP98" s="9">
        <f>DP97+DP96</f>
        <v>22115</v>
      </c>
      <c r="DQ98" s="23">
        <f t="shared" si="337"/>
        <v>-30.057803468208093</v>
      </c>
      <c r="DR98" s="24" t="s">
        <v>1</v>
      </c>
      <c r="DS98" s="23">
        <f t="shared" si="338"/>
        <v>-17.032451697617702</v>
      </c>
      <c r="DT98" s="8"/>
      <c r="DU98" s="19">
        <f>DU96+DU97</f>
        <v>52.5</v>
      </c>
      <c r="DV98" s="6" t="s">
        <v>1</v>
      </c>
      <c r="DW98" s="9">
        <f>DW97+DW96</f>
        <v>19315</v>
      </c>
      <c r="DX98" s="23">
        <f t="shared" si="339"/>
        <v>-13.223140495867767</v>
      </c>
      <c r="DY98" s="24" t="s">
        <v>1</v>
      </c>
      <c r="DZ98" s="23">
        <f t="shared" si="340"/>
        <v>-12.661089758082753</v>
      </c>
      <c r="EA98" s="8"/>
      <c r="EB98" s="19">
        <f>EB96+EB97</f>
        <v>51</v>
      </c>
      <c r="EC98" s="6" t="s">
        <v>1</v>
      </c>
      <c r="ED98" s="9">
        <f>ED97+ED96</f>
        <v>19880</v>
      </c>
      <c r="EE98" s="23">
        <f t="shared" si="341"/>
        <v>-2.857142857142861</v>
      </c>
      <c r="EF98" s="24" t="s">
        <v>1</v>
      </c>
      <c r="EG98" s="23">
        <f t="shared" si="342"/>
        <v>2.9251876779704844</v>
      </c>
      <c r="EH98" s="8"/>
      <c r="EI98" s="19">
        <f>EI96+EI97</f>
        <v>81</v>
      </c>
      <c r="EJ98" s="6" t="s">
        <v>1</v>
      </c>
      <c r="EK98" s="9">
        <f>EK97+EK96</f>
        <v>31100</v>
      </c>
      <c r="EL98" s="23">
        <f t="shared" si="343"/>
        <v>58.823529411764696</v>
      </c>
      <c r="EM98" s="24" t="s">
        <v>1</v>
      </c>
      <c r="EN98" s="23">
        <f t="shared" si="344"/>
        <v>56.438631790744466</v>
      </c>
      <c r="EO98" s="8"/>
      <c r="EP98" s="19">
        <f>EP96+EP97</f>
        <v>55</v>
      </c>
      <c r="EQ98" s="6" t="s">
        <v>1</v>
      </c>
      <c r="ER98" s="9">
        <f>ER97+ER96</f>
        <v>21100</v>
      </c>
      <c r="ES98" s="23">
        <f t="shared" si="345"/>
        <v>-32.09876543209876</v>
      </c>
      <c r="ET98" s="24" t="s">
        <v>1</v>
      </c>
      <c r="EU98" s="23">
        <f t="shared" si="346"/>
        <v>-32.154340836012864</v>
      </c>
      <c r="EV98" s="8"/>
      <c r="EW98" s="19">
        <f>EW96+EW97</f>
        <v>61</v>
      </c>
      <c r="EX98" s="10">
        <f t="shared" si="377"/>
        <v>431.55737704918033</v>
      </c>
      <c r="EY98" s="9">
        <f>EY97+EY96</f>
        <v>26325</v>
      </c>
      <c r="EZ98" s="9">
        <f>EZ97+EZ96</f>
        <v>26325</v>
      </c>
      <c r="FA98" s="23">
        <f t="shared" si="198"/>
        <v>10.909090909090907</v>
      </c>
      <c r="FB98" s="24" t="s">
        <v>1</v>
      </c>
      <c r="FC98" s="23">
        <f t="shared" si="199"/>
        <v>24.763033175355446</v>
      </c>
      <c r="FD98" s="8"/>
      <c r="FE98" s="19">
        <f>FE96+FE97</f>
        <v>56</v>
      </c>
      <c r="FF98" s="10">
        <f t="shared" si="378"/>
        <v>444.64285714285717</v>
      </c>
      <c r="FG98" s="9">
        <f>FG97+FG96</f>
        <v>24900</v>
      </c>
      <c r="FH98" s="9">
        <f>FH97+FH96</f>
        <v>24900</v>
      </c>
      <c r="FI98" s="23">
        <f t="shared" si="379"/>
        <v>-8.196721311475414</v>
      </c>
      <c r="FJ98" s="23">
        <f t="shared" si="373"/>
        <v>3.0321530321530332</v>
      </c>
      <c r="FK98" s="23">
        <f t="shared" si="373"/>
        <v>-5.413105413105413</v>
      </c>
      <c r="FL98" s="23">
        <f t="shared" si="380"/>
        <v>-5.413105413105413</v>
      </c>
      <c r="FM98" s="23"/>
      <c r="FN98" s="19">
        <f>FN96+FN97</f>
        <v>59.5</v>
      </c>
      <c r="FO98" s="6" t="s">
        <v>1</v>
      </c>
      <c r="FP98" s="19">
        <f>FP96+FP97</f>
        <v>24110</v>
      </c>
      <c r="FQ98" s="9">
        <f>FQ97+FQ96</f>
        <v>24110</v>
      </c>
      <c r="FR98" s="24" t="s">
        <v>1</v>
      </c>
      <c r="FS98" s="24" t="s">
        <v>1</v>
      </c>
      <c r="FT98" s="23">
        <f t="shared" si="368"/>
        <v>-3.172690763052202</v>
      </c>
      <c r="FU98" s="23">
        <f t="shared" si="368"/>
        <v>-3.172690763052202</v>
      </c>
      <c r="FV98" s="23"/>
      <c r="FW98" s="19">
        <f>FW96+FW97</f>
        <v>61.5</v>
      </c>
      <c r="FX98" s="6" t="s">
        <v>1</v>
      </c>
      <c r="FY98" s="19">
        <f>FY96+FY97</f>
        <v>24610</v>
      </c>
      <c r="FZ98" s="19">
        <f>FZ96+FZ97</f>
        <v>24610</v>
      </c>
      <c r="GA98" s="24" t="s">
        <v>1</v>
      </c>
      <c r="GB98" s="24" t="s">
        <v>1</v>
      </c>
      <c r="GC98" s="24" t="s">
        <v>1</v>
      </c>
      <c r="GD98" s="24" t="s">
        <v>1</v>
      </c>
      <c r="GE98" s="23"/>
      <c r="GF98" s="19">
        <f>GF96+GF97</f>
        <v>37.5</v>
      </c>
      <c r="GG98" s="6" t="s">
        <v>1</v>
      </c>
      <c r="GH98" s="19">
        <f>GH96+GH97</f>
        <v>12600</v>
      </c>
      <c r="GI98" s="19">
        <f>GI96+GI97</f>
        <v>12600</v>
      </c>
      <c r="GJ98" s="23">
        <f t="shared" si="300"/>
        <v>-39.02439024390244</v>
      </c>
      <c r="GK98" s="24" t="s">
        <v>1</v>
      </c>
      <c r="GL98" s="23">
        <f t="shared" si="363"/>
        <v>-48.80130028443722</v>
      </c>
      <c r="GM98" s="23">
        <f t="shared" si="363"/>
        <v>-48.80130028443722</v>
      </c>
      <c r="GN98" s="23"/>
      <c r="GO98" s="19">
        <f>GO96+GO97</f>
        <v>23.1</v>
      </c>
      <c r="GP98" s="6" t="s">
        <v>1</v>
      </c>
      <c r="GQ98" s="19">
        <f>GQ96+GQ97</f>
        <v>5240</v>
      </c>
      <c r="GR98" s="19">
        <f>GR96+GR97</f>
        <v>5240</v>
      </c>
      <c r="GS98" s="23">
        <f t="shared" si="301"/>
        <v>-38.4</v>
      </c>
      <c r="GT98" s="24" t="s">
        <v>1</v>
      </c>
      <c r="GU98" s="23">
        <f t="shared" si="364"/>
        <v>-58.41269841269841</v>
      </c>
      <c r="GV98" s="23">
        <f t="shared" si="365"/>
        <v>-58.41269841269841</v>
      </c>
      <c r="GW98" s="23"/>
      <c r="GX98" s="19">
        <f>GX96+GX97</f>
        <v>15</v>
      </c>
      <c r="GY98" s="6" t="s">
        <v>1</v>
      </c>
      <c r="GZ98" s="19">
        <f>GZ96+GZ97</f>
        <v>3300</v>
      </c>
      <c r="HA98" s="19">
        <f>HA96+HA97</f>
        <v>3300</v>
      </c>
      <c r="HB98" s="23">
        <f t="shared" si="302"/>
        <v>-35.06493506493507</v>
      </c>
      <c r="HC98" s="24" t="s">
        <v>1</v>
      </c>
      <c r="HD98" s="23">
        <f t="shared" si="366"/>
        <v>-37.02290076335878</v>
      </c>
      <c r="HE98" s="23">
        <f t="shared" si="367"/>
        <v>-37.02290076335878</v>
      </c>
      <c r="HF98" s="23"/>
      <c r="HG98" s="19">
        <f>HG96+HG97</f>
        <v>16.2</v>
      </c>
      <c r="HH98" s="6" t="s">
        <v>1</v>
      </c>
      <c r="HI98" s="19">
        <f>HI96+HI97</f>
        <v>3328</v>
      </c>
      <c r="HJ98" s="19">
        <f>HJ96+HJ97</f>
        <v>3328</v>
      </c>
      <c r="HK98" s="23">
        <f t="shared" si="304"/>
        <v>8</v>
      </c>
      <c r="HL98" s="24" t="s">
        <v>1</v>
      </c>
      <c r="HM98" s="23">
        <f t="shared" si="375"/>
        <v>0.8484848484848442</v>
      </c>
      <c r="HN98" s="23">
        <f t="shared" si="376"/>
        <v>0.8484848484848442</v>
      </c>
      <c r="HO98" s="23"/>
      <c r="HP98" s="19">
        <f>HP96+HP97</f>
        <v>9.4</v>
      </c>
      <c r="HQ98" s="6" t="s">
        <v>1</v>
      </c>
      <c r="HR98" s="19">
        <f>HR96+HR97</f>
        <v>1997</v>
      </c>
      <c r="HS98" s="19">
        <f>HS96+HS97</f>
        <v>1997</v>
      </c>
      <c r="HT98" s="23">
        <f t="shared" si="306"/>
        <v>-41.9753086419753</v>
      </c>
      <c r="HU98" s="24" t="s">
        <v>1</v>
      </c>
      <c r="HV98" s="23">
        <f t="shared" si="370"/>
        <v>-39.99399038461539</v>
      </c>
      <c r="HW98" s="23">
        <f t="shared" si="371"/>
        <v>-39.99399038461539</v>
      </c>
      <c r="HX98" s="23"/>
      <c r="HY98" s="19">
        <f>HY96+HY97</f>
        <v>0</v>
      </c>
      <c r="HZ98" s="6" t="s">
        <v>1</v>
      </c>
      <c r="IA98" s="19">
        <f>IA96+IA97</f>
        <v>0</v>
      </c>
      <c r="IB98" s="19">
        <f>IB96+IB97</f>
        <v>0</v>
      </c>
      <c r="IC98" s="23">
        <f t="shared" si="389"/>
        <v>-100</v>
      </c>
      <c r="ID98" s="24" t="s">
        <v>1</v>
      </c>
      <c r="IE98" s="23">
        <f t="shared" si="383"/>
        <v>-100</v>
      </c>
      <c r="IF98" s="23">
        <f t="shared" si="384"/>
        <v>-100</v>
      </c>
      <c r="IG98" s="23"/>
      <c r="IH98" s="1" t="s">
        <v>94</v>
      </c>
      <c r="II98" s="29">
        <f t="shared" si="386"/>
        <v>46.58</v>
      </c>
      <c r="IJ98" s="30">
        <f t="shared" si="387"/>
        <v>438.1001170960187</v>
      </c>
      <c r="IK98" s="29">
        <f t="shared" si="388"/>
        <v>17661.3</v>
      </c>
      <c r="IL98" s="25">
        <f t="shared" si="360"/>
        <v>-79.8196650923143</v>
      </c>
      <c r="IM98" s="25">
        <f t="shared" si="361"/>
        <v>-100</v>
      </c>
      <c r="IN98" s="25">
        <f t="shared" si="362"/>
        <v>-88.6927915838585</v>
      </c>
      <c r="IP98" s="30">
        <f>HP98*100/Italia!BR98</f>
        <v>0.9068282235813927</v>
      </c>
      <c r="IQ98" s="30">
        <f>HR98*100/Italia!BT98</f>
        <v>0.6201535943754523</v>
      </c>
      <c r="IR98" s="30">
        <f>HS98*100/Italia!BU98</f>
        <v>0.6653206999027172</v>
      </c>
    </row>
    <row r="99" spans="1:252" ht="12">
      <c r="A99" s="1" t="s">
        <v>95</v>
      </c>
      <c r="B99" s="20">
        <v>281</v>
      </c>
      <c r="C99" s="10">
        <v>402.9</v>
      </c>
      <c r="D99" s="11">
        <v>111000</v>
      </c>
      <c r="E99" s="9"/>
      <c r="F99" s="20">
        <v>319</v>
      </c>
      <c r="G99" s="10">
        <v>406.1</v>
      </c>
      <c r="H99" s="11">
        <v>128100</v>
      </c>
      <c r="I99" s="23">
        <f t="shared" si="349"/>
        <v>13.52313167259787</v>
      </c>
      <c r="J99" s="23">
        <f>G99*100/C99-100</f>
        <v>0.7942417473318528</v>
      </c>
      <c r="K99" s="23">
        <f t="shared" si="350"/>
        <v>15.405405405405403</v>
      </c>
      <c r="L99" s="8"/>
      <c r="M99" s="20">
        <v>334</v>
      </c>
      <c r="N99" s="10">
        <f>139313/M99</f>
        <v>417.1047904191617</v>
      </c>
      <c r="O99" s="11">
        <v>137800</v>
      </c>
      <c r="P99" s="23">
        <f t="shared" si="351"/>
        <v>4.702194357366764</v>
      </c>
      <c r="Q99" s="23">
        <f>N99*100/G99-100</f>
        <v>2.7098720559373817</v>
      </c>
      <c r="R99" s="23">
        <f t="shared" si="352"/>
        <v>7.572209211553471</v>
      </c>
      <c r="S99" s="8"/>
      <c r="T99" s="20">
        <v>329</v>
      </c>
      <c r="U99" s="10">
        <v>444.2</v>
      </c>
      <c r="V99" s="11">
        <v>133700</v>
      </c>
      <c r="W99" s="23">
        <f t="shared" si="391"/>
        <v>-1.4970059880239575</v>
      </c>
      <c r="X99" s="23">
        <f>U99*100/N99-100</f>
        <v>6.496019754078944</v>
      </c>
      <c r="Y99" s="23">
        <f t="shared" si="392"/>
        <v>-2.9753265602322188</v>
      </c>
      <c r="Z99" s="8"/>
      <c r="AA99" s="20">
        <v>322</v>
      </c>
      <c r="AB99" s="10">
        <v>473.8</v>
      </c>
      <c r="AC99" s="11">
        <v>135700</v>
      </c>
      <c r="AD99" s="23">
        <f t="shared" si="313"/>
        <v>-2.1276595744680833</v>
      </c>
      <c r="AE99" s="23">
        <f>AB99*100/U99-100</f>
        <v>6.663665015758667</v>
      </c>
      <c r="AF99" s="23">
        <f t="shared" si="314"/>
        <v>1.4958863126402377</v>
      </c>
      <c r="AG99" s="8"/>
      <c r="AH99" s="20">
        <v>313</v>
      </c>
      <c r="AI99" s="10">
        <v>460.5</v>
      </c>
      <c r="AJ99" s="11">
        <v>133600</v>
      </c>
      <c r="AK99" s="23">
        <f t="shared" si="315"/>
        <v>-2.7950310559006226</v>
      </c>
      <c r="AL99" s="23">
        <f>AI99*100/AB99-100</f>
        <v>-2.8070915998311534</v>
      </c>
      <c r="AM99" s="23">
        <f t="shared" si="316"/>
        <v>-1.547531319086218</v>
      </c>
      <c r="AN99" s="8"/>
      <c r="AO99" s="20">
        <v>321</v>
      </c>
      <c r="AP99" s="10">
        <v>440.9</v>
      </c>
      <c r="AQ99" s="11">
        <v>131000</v>
      </c>
      <c r="AR99" s="23">
        <f t="shared" si="317"/>
        <v>2.5559105431309916</v>
      </c>
      <c r="AS99" s="23">
        <f>AP99*100/AI99-100</f>
        <v>-4.256243213897932</v>
      </c>
      <c r="AT99" s="23">
        <f t="shared" si="318"/>
        <v>-1.9461077844311347</v>
      </c>
      <c r="AU99" s="8"/>
      <c r="AV99" s="20">
        <v>308</v>
      </c>
      <c r="AW99" s="10">
        <v>485.3</v>
      </c>
      <c r="AX99" s="11">
        <v>142538</v>
      </c>
      <c r="AY99" s="23">
        <f t="shared" si="319"/>
        <v>-4.049844236760123</v>
      </c>
      <c r="AZ99" s="23">
        <f>AW99*100/AP99-100</f>
        <v>10.070310728056256</v>
      </c>
      <c r="BA99" s="23">
        <f t="shared" si="320"/>
        <v>8.807633587786256</v>
      </c>
      <c r="BB99" s="8"/>
      <c r="BC99" s="20">
        <v>270</v>
      </c>
      <c r="BD99" s="10">
        <v>530.9</v>
      </c>
      <c r="BE99" s="11">
        <v>136472</v>
      </c>
      <c r="BF99" s="23">
        <f t="shared" si="321"/>
        <v>-12.337662337662337</v>
      </c>
      <c r="BG99" s="23">
        <f>BD99*100/AW99-100</f>
        <v>9.396249742427358</v>
      </c>
      <c r="BH99" s="23">
        <f t="shared" si="322"/>
        <v>-4.25570724999649</v>
      </c>
      <c r="BI99" s="8"/>
      <c r="BJ99" s="20">
        <v>263</v>
      </c>
      <c r="BK99" s="10">
        <v>617.62</v>
      </c>
      <c r="BL99" s="11">
        <v>147465</v>
      </c>
      <c r="BM99" s="23">
        <f t="shared" si="353"/>
        <v>-2.5925925925925952</v>
      </c>
      <c r="BN99" s="23">
        <f>BK99*100/BD99-100</f>
        <v>16.334526276134866</v>
      </c>
      <c r="BO99" s="23">
        <f t="shared" si="323"/>
        <v>8.0551321882877</v>
      </c>
      <c r="BP99" s="8"/>
      <c r="BQ99" s="20">
        <v>257</v>
      </c>
      <c r="BR99" s="10">
        <v>606.6</v>
      </c>
      <c r="BS99" s="11">
        <v>146523</v>
      </c>
      <c r="BT99" s="23">
        <f t="shared" si="354"/>
        <v>-2.281368821292773</v>
      </c>
      <c r="BU99" s="23">
        <f>BR99*100/BK99-100</f>
        <v>-1.7842686441501314</v>
      </c>
      <c r="BV99" s="23">
        <f t="shared" si="324"/>
        <v>-0.638795646424569</v>
      </c>
      <c r="BW99" s="8"/>
      <c r="BX99" s="20">
        <v>242</v>
      </c>
      <c r="BY99" s="10">
        <v>519.4</v>
      </c>
      <c r="BZ99" s="11">
        <v>122052</v>
      </c>
      <c r="CA99" s="23">
        <f t="shared" si="325"/>
        <v>-5.836575875486375</v>
      </c>
      <c r="CB99" s="23">
        <f>BY99*100/BR99-100</f>
        <v>-14.375206066600725</v>
      </c>
      <c r="CC99" s="23">
        <f t="shared" si="326"/>
        <v>-16.701132245449514</v>
      </c>
      <c r="CD99" s="8"/>
      <c r="CE99" s="20">
        <v>234</v>
      </c>
      <c r="CF99" s="10">
        <v>469.8</v>
      </c>
      <c r="CG99" s="11">
        <v>104494</v>
      </c>
      <c r="CH99" s="23">
        <f t="shared" si="327"/>
        <v>-3.305785123966942</v>
      </c>
      <c r="CI99" s="23">
        <f>CF99*100/BY99-100</f>
        <v>-9.54948016942626</v>
      </c>
      <c r="CJ99" s="23">
        <f t="shared" si="328"/>
        <v>-14.385671680922883</v>
      </c>
      <c r="CK99" s="8"/>
      <c r="CL99" s="20">
        <v>240</v>
      </c>
      <c r="CM99" s="10">
        <v>488.9</v>
      </c>
      <c r="CN99" s="11">
        <v>111038</v>
      </c>
      <c r="CO99" s="23">
        <f t="shared" si="329"/>
        <v>2.564102564102569</v>
      </c>
      <c r="CP99" s="23">
        <f>CM99*100/CF99-100</f>
        <v>4.065559812686246</v>
      </c>
      <c r="CQ99" s="23">
        <f t="shared" si="330"/>
        <v>6.2625605297911875</v>
      </c>
      <c r="CR99" s="8"/>
      <c r="CS99" s="20">
        <v>301</v>
      </c>
      <c r="CT99" s="10">
        <v>324.3</v>
      </c>
      <c r="CU99" s="11">
        <v>91075</v>
      </c>
      <c r="CV99" s="23">
        <f t="shared" si="331"/>
        <v>25.41666666666667</v>
      </c>
      <c r="CW99" s="23">
        <f>CT99*100/CM99-100</f>
        <v>-33.6674166496216</v>
      </c>
      <c r="CX99" s="23">
        <f t="shared" si="332"/>
        <v>-17.97852987265621</v>
      </c>
      <c r="CY99" s="8"/>
      <c r="CZ99" s="20">
        <v>230</v>
      </c>
      <c r="DA99" s="10">
        <v>404.4</v>
      </c>
      <c r="DB99" s="11">
        <v>87385</v>
      </c>
      <c r="DC99" s="23">
        <f t="shared" si="333"/>
        <v>-23.58803986710963</v>
      </c>
      <c r="DD99" s="23">
        <f>DA99*100/CT99-100</f>
        <v>24.699352451433853</v>
      </c>
      <c r="DE99" s="23">
        <f t="shared" si="334"/>
        <v>-4.051605819379631</v>
      </c>
      <c r="DF99" s="8"/>
      <c r="DG99" s="20">
        <v>220</v>
      </c>
      <c r="DH99" s="10">
        <v>383.7</v>
      </c>
      <c r="DI99" s="11">
        <v>79355</v>
      </c>
      <c r="DJ99" s="23">
        <f t="shared" si="335"/>
        <v>-4.347826086956516</v>
      </c>
      <c r="DK99" s="23">
        <f>DH99*100/DA99-100</f>
        <v>-5.118694362017806</v>
      </c>
      <c r="DL99" s="23">
        <f t="shared" si="336"/>
        <v>-9.189220117869198</v>
      </c>
      <c r="DM99" s="8"/>
      <c r="DN99" s="20">
        <v>152</v>
      </c>
      <c r="DO99" s="10">
        <v>420.6</v>
      </c>
      <c r="DP99" s="11">
        <v>59435</v>
      </c>
      <c r="DQ99" s="23">
        <f t="shared" si="337"/>
        <v>-30.909090909090907</v>
      </c>
      <c r="DR99" s="23">
        <f>DO99*100/DH99-100</f>
        <v>9.616888193901488</v>
      </c>
      <c r="DS99" s="23">
        <f t="shared" si="338"/>
        <v>-25.102388003276417</v>
      </c>
      <c r="DT99" s="8"/>
      <c r="DU99" s="20">
        <v>132</v>
      </c>
      <c r="DV99" s="10">
        <v>550</v>
      </c>
      <c r="DW99" s="11">
        <v>68690</v>
      </c>
      <c r="DX99" s="23">
        <f t="shared" si="339"/>
        <v>-13.15789473684211</v>
      </c>
      <c r="DY99" s="23">
        <f>DV99*100/DO99-100</f>
        <v>30.765572990965268</v>
      </c>
      <c r="DZ99" s="23">
        <f t="shared" si="340"/>
        <v>15.571632876251371</v>
      </c>
      <c r="EA99" s="8"/>
      <c r="EB99" s="20">
        <v>134</v>
      </c>
      <c r="EC99" s="10">
        <v>565.4</v>
      </c>
      <c r="ED99" s="11">
        <v>72385</v>
      </c>
      <c r="EE99" s="23">
        <f t="shared" si="341"/>
        <v>1.5151515151515156</v>
      </c>
      <c r="EF99" s="23">
        <f>EC99*100/DV99-100</f>
        <v>2.799999999999997</v>
      </c>
      <c r="EG99" s="23">
        <f t="shared" si="342"/>
        <v>5.379240064055907</v>
      </c>
      <c r="EH99" s="8"/>
      <c r="EI99" s="20">
        <v>121</v>
      </c>
      <c r="EJ99" s="10">
        <v>564.2</v>
      </c>
      <c r="EK99" s="11">
        <v>64880</v>
      </c>
      <c r="EL99" s="23">
        <f t="shared" si="343"/>
        <v>-9.701492537313428</v>
      </c>
      <c r="EM99" s="23">
        <f>EJ99*100/EC99-100</f>
        <v>-0.21223912274494694</v>
      </c>
      <c r="EN99" s="23">
        <f t="shared" si="344"/>
        <v>-10.368170201008496</v>
      </c>
      <c r="EO99" s="8"/>
      <c r="EP99" s="20">
        <v>118</v>
      </c>
      <c r="EQ99" s="10">
        <v>564.7</v>
      </c>
      <c r="ER99" s="11">
        <v>63250</v>
      </c>
      <c r="ES99" s="23">
        <f t="shared" si="345"/>
        <v>-2.47933884297521</v>
      </c>
      <c r="ET99" s="23">
        <f>EQ99*100/EJ99-100</f>
        <v>0.08862105636299589</v>
      </c>
      <c r="EU99" s="23">
        <f t="shared" si="346"/>
        <v>-2.512330456226877</v>
      </c>
      <c r="EV99" s="8"/>
      <c r="EW99" s="20">
        <v>106</v>
      </c>
      <c r="EX99" s="10">
        <f t="shared" si="377"/>
        <v>568.9150943396227</v>
      </c>
      <c r="EY99" s="11">
        <v>60305</v>
      </c>
      <c r="EZ99" s="11">
        <v>57500</v>
      </c>
      <c r="FA99" s="23">
        <f t="shared" si="198"/>
        <v>-10.169491525423723</v>
      </c>
      <c r="FB99" s="23">
        <f>EX99*100/EQ99-100</f>
        <v>0.7464307312949501</v>
      </c>
      <c r="FC99" s="23">
        <f t="shared" si="199"/>
        <v>-9.090909090909093</v>
      </c>
      <c r="FD99" s="8"/>
      <c r="FE99" s="20">
        <v>326</v>
      </c>
      <c r="FF99" s="10">
        <f t="shared" si="378"/>
        <v>743.9417177914111</v>
      </c>
      <c r="FG99" s="11">
        <v>242525</v>
      </c>
      <c r="FH99" s="11">
        <v>240230</v>
      </c>
      <c r="FI99" s="23">
        <f t="shared" si="379"/>
        <v>207.54716981132077</v>
      </c>
      <c r="FJ99" s="23">
        <f t="shared" si="373"/>
        <v>30.76498148725574</v>
      </c>
      <c r="FK99" s="23">
        <f t="shared" si="373"/>
        <v>302.1639996683525</v>
      </c>
      <c r="FL99" s="23">
        <f t="shared" si="380"/>
        <v>317.7913043478261</v>
      </c>
      <c r="FM99" s="23"/>
      <c r="FN99" s="20">
        <v>82</v>
      </c>
      <c r="FO99" s="10">
        <f t="shared" si="220"/>
        <v>586.1585365853658</v>
      </c>
      <c r="FP99" s="11">
        <v>48065</v>
      </c>
      <c r="FQ99" s="11">
        <v>46025</v>
      </c>
      <c r="FR99" s="23">
        <f>FN99*100/FE99-100</f>
        <v>-74.84662576687117</v>
      </c>
      <c r="FS99" s="23">
        <f>FO99*100/FF99-100</f>
        <v>-21.20907826952717</v>
      </c>
      <c r="FT99" s="23">
        <f t="shared" si="368"/>
        <v>-80.18142459540253</v>
      </c>
      <c r="FU99" s="23">
        <f t="shared" si="368"/>
        <v>-80.84127710943679</v>
      </c>
      <c r="FV99" s="23"/>
      <c r="FW99" s="20">
        <v>79</v>
      </c>
      <c r="FX99" s="10">
        <f>FY99/FW99</f>
        <v>587.2151898734177</v>
      </c>
      <c r="FY99" s="20">
        <v>46390</v>
      </c>
      <c r="FZ99" s="20">
        <v>44350</v>
      </c>
      <c r="GA99" s="23">
        <f aca="true" t="shared" si="393" ref="GA99:GD100">FW99*100/FN99-100</f>
        <v>-3.6585365853658516</v>
      </c>
      <c r="GB99" s="23">
        <f t="shared" si="393"/>
        <v>0.18026749114793006</v>
      </c>
      <c r="GC99" s="23">
        <f t="shared" si="393"/>
        <v>-3.484864246333089</v>
      </c>
      <c r="GD99" s="23">
        <f t="shared" si="393"/>
        <v>-3.639326453014661</v>
      </c>
      <c r="GE99" s="23"/>
      <c r="GF99" s="20">
        <v>77</v>
      </c>
      <c r="GG99" s="10">
        <f>GH99/GF99</f>
        <v>734.5454545454545</v>
      </c>
      <c r="GH99" s="20">
        <v>56560</v>
      </c>
      <c r="GI99" s="20">
        <v>54900</v>
      </c>
      <c r="GJ99" s="23">
        <f t="shared" si="300"/>
        <v>-2.5316455696202524</v>
      </c>
      <c r="GK99" s="23">
        <f t="shared" si="300"/>
        <v>25.089654902114503</v>
      </c>
      <c r="GL99" s="23">
        <f t="shared" si="363"/>
        <v>21.92282819573184</v>
      </c>
      <c r="GM99" s="23">
        <f t="shared" si="363"/>
        <v>23.7880496054115</v>
      </c>
      <c r="GN99" s="23"/>
      <c r="GO99" s="20">
        <v>88</v>
      </c>
      <c r="GP99" s="10">
        <f>GQ99/GO99</f>
        <v>717.3863636363636</v>
      </c>
      <c r="GQ99" s="20">
        <v>63130</v>
      </c>
      <c r="GR99" s="20">
        <v>61690</v>
      </c>
      <c r="GS99" s="23">
        <f t="shared" si="301"/>
        <v>14.285714285714292</v>
      </c>
      <c r="GT99" s="23">
        <f t="shared" si="301"/>
        <v>-2.3360148514851318</v>
      </c>
      <c r="GU99" s="23">
        <f t="shared" si="364"/>
        <v>11.615983026874119</v>
      </c>
      <c r="GV99" s="23">
        <f t="shared" si="365"/>
        <v>12.367941712204</v>
      </c>
      <c r="GW99" s="23"/>
      <c r="GX99" s="20">
        <v>91</v>
      </c>
      <c r="GY99" s="10">
        <f>GZ99/GX99</f>
        <v>723.5164835164835</v>
      </c>
      <c r="GZ99" s="20">
        <v>65840</v>
      </c>
      <c r="HA99" s="20">
        <v>64400</v>
      </c>
      <c r="HB99" s="23">
        <f t="shared" si="302"/>
        <v>3.4090909090909065</v>
      </c>
      <c r="HC99" s="23">
        <f>GY99*100/GP99-100</f>
        <v>0.8545074440845184</v>
      </c>
      <c r="HD99" s="23">
        <f t="shared" si="366"/>
        <v>4.292729288769209</v>
      </c>
      <c r="HE99" s="23">
        <f t="shared" si="367"/>
        <v>4.392932403955257</v>
      </c>
      <c r="HF99" s="23"/>
      <c r="HG99" s="20">
        <v>96</v>
      </c>
      <c r="HH99" s="10">
        <f>HI99/HG99</f>
        <v>720.625</v>
      </c>
      <c r="HI99" s="20">
        <v>69180</v>
      </c>
      <c r="HJ99" s="20">
        <v>69180</v>
      </c>
      <c r="HK99" s="23">
        <f t="shared" si="304"/>
        <v>5.494505494505489</v>
      </c>
      <c r="HL99" s="23">
        <f>HH99*100/GY99-100</f>
        <v>-0.3996430741190693</v>
      </c>
      <c r="HM99" s="23">
        <f t="shared" si="375"/>
        <v>5.072904009720531</v>
      </c>
      <c r="HN99" s="23">
        <f t="shared" si="376"/>
        <v>7.422360248447205</v>
      </c>
      <c r="HO99" s="23"/>
      <c r="HP99" s="20">
        <v>141</v>
      </c>
      <c r="HQ99" s="10">
        <f>HR99/HP99</f>
        <v>721.8085106382979</v>
      </c>
      <c r="HR99" s="20">
        <v>101775</v>
      </c>
      <c r="HS99" s="20">
        <v>101775</v>
      </c>
      <c r="HT99" s="23">
        <f t="shared" si="306"/>
        <v>46.875</v>
      </c>
      <c r="HU99" s="23">
        <f>HQ99*100/HH99-100</f>
        <v>0.1642339133804569</v>
      </c>
      <c r="HV99" s="23">
        <f t="shared" si="370"/>
        <v>47.11621856027753</v>
      </c>
      <c r="HW99" s="23">
        <f t="shared" si="371"/>
        <v>47.11621856027753</v>
      </c>
      <c r="HX99" s="23"/>
      <c r="HY99" s="20"/>
      <c r="HZ99" s="10"/>
      <c r="IA99" s="20"/>
      <c r="IB99" s="20"/>
      <c r="IC99" s="23">
        <f t="shared" si="389"/>
        <v>-100</v>
      </c>
      <c r="ID99" s="23">
        <f>HZ99*100/HQ99-100</f>
        <v>-100</v>
      </c>
      <c r="IE99" s="23">
        <f t="shared" si="383"/>
        <v>-100</v>
      </c>
      <c r="IF99" s="23">
        <f t="shared" si="384"/>
        <v>-100</v>
      </c>
      <c r="IG99" s="23"/>
      <c r="IH99" s="1" t="s">
        <v>95</v>
      </c>
      <c r="II99" s="29">
        <f t="shared" si="386"/>
        <v>118.4</v>
      </c>
      <c r="IJ99" s="30">
        <f t="shared" si="387"/>
        <v>651.1203840288119</v>
      </c>
      <c r="IK99" s="29">
        <f t="shared" si="388"/>
        <v>76640.5</v>
      </c>
      <c r="IL99" s="25">
        <f t="shared" si="360"/>
        <v>19.08783783783784</v>
      </c>
      <c r="IM99" s="25">
        <f t="shared" si="361"/>
        <v>10.856383603305844</v>
      </c>
      <c r="IN99" s="25">
        <f t="shared" si="362"/>
        <v>32.79532362132292</v>
      </c>
      <c r="IP99" s="30">
        <f>HP99*100/Italia!BR99</f>
        <v>4.696868754163891</v>
      </c>
      <c r="IQ99" s="30">
        <f>HR99*100/Italia!BT99</f>
        <v>9.036080396477727</v>
      </c>
      <c r="IR99" s="30">
        <f>HS99*100/Italia!BU99</f>
        <v>9.273703412795752</v>
      </c>
    </row>
    <row r="100" spans="1:252" ht="12">
      <c r="A100" s="1" t="s">
        <v>96</v>
      </c>
      <c r="B100" s="22">
        <v>15.61</v>
      </c>
      <c r="C100" s="10">
        <v>576.7</v>
      </c>
      <c r="D100" s="11">
        <v>8998</v>
      </c>
      <c r="E100" s="9"/>
      <c r="F100" s="22">
        <v>16.13</v>
      </c>
      <c r="G100" s="10">
        <v>588.1</v>
      </c>
      <c r="H100" s="11">
        <v>9483</v>
      </c>
      <c r="I100" s="23">
        <f t="shared" si="349"/>
        <v>3.331197950032035</v>
      </c>
      <c r="J100" s="23">
        <f>G100*100/C100-100</f>
        <v>1.9767643488815594</v>
      </c>
      <c r="K100" s="23">
        <f t="shared" si="350"/>
        <v>5.3900866859302</v>
      </c>
      <c r="L100" s="8"/>
      <c r="M100" s="22">
        <v>12.58</v>
      </c>
      <c r="N100" s="10">
        <f>7387/M100</f>
        <v>587.2019077901431</v>
      </c>
      <c r="O100" s="11">
        <v>7379</v>
      </c>
      <c r="P100" s="23">
        <f t="shared" si="351"/>
        <v>-22.008679479231247</v>
      </c>
      <c r="Q100" s="23">
        <f>N100*100/G100-100</f>
        <v>-0.15271079915947894</v>
      </c>
      <c r="R100" s="23">
        <f t="shared" si="352"/>
        <v>-22.18707160181377</v>
      </c>
      <c r="S100" s="8"/>
      <c r="T100" s="22">
        <v>16.1</v>
      </c>
      <c r="U100" s="10">
        <f>9930/T100</f>
        <v>616.7701863354037</v>
      </c>
      <c r="V100" s="11">
        <v>9900</v>
      </c>
      <c r="W100" s="23">
        <f t="shared" si="391"/>
        <v>27.98092209856918</v>
      </c>
      <c r="X100" s="23">
        <f>U100*100/N100-100</f>
        <v>5.035453419512351</v>
      </c>
      <c r="Y100" s="23">
        <f t="shared" si="392"/>
        <v>34.16452093779645</v>
      </c>
      <c r="Z100" s="8"/>
      <c r="AA100" s="22">
        <v>17.6</v>
      </c>
      <c r="AB100" s="10">
        <f>AC100/AA100</f>
        <v>580.3977272727273</v>
      </c>
      <c r="AC100" s="11">
        <v>10215</v>
      </c>
      <c r="AD100" s="23">
        <f t="shared" si="313"/>
        <v>9.316770186335404</v>
      </c>
      <c r="AE100" s="23">
        <f>AB100*100/U100-100</f>
        <v>-5.897246635539673</v>
      </c>
      <c r="AF100" s="23">
        <f t="shared" si="314"/>
        <v>3.181818181818187</v>
      </c>
      <c r="AG100" s="8"/>
      <c r="AH100" s="22">
        <v>17.6</v>
      </c>
      <c r="AI100" s="10">
        <f>10155/AH100</f>
        <v>576.9886363636363</v>
      </c>
      <c r="AJ100" s="11">
        <v>10125</v>
      </c>
      <c r="AK100" s="23">
        <f t="shared" si="315"/>
        <v>0</v>
      </c>
      <c r="AL100" s="23">
        <f>AI100*100/AB100-100</f>
        <v>-0.587371512481667</v>
      </c>
      <c r="AM100" s="23">
        <f t="shared" si="316"/>
        <v>-0.881057268722472</v>
      </c>
      <c r="AN100" s="8"/>
      <c r="AO100" s="22">
        <v>19.2</v>
      </c>
      <c r="AP100" s="10">
        <f>11383/AO100</f>
        <v>592.8645833333334</v>
      </c>
      <c r="AQ100" s="11">
        <v>11320</v>
      </c>
      <c r="AR100" s="23">
        <f t="shared" si="317"/>
        <v>9.09090909090908</v>
      </c>
      <c r="AS100" s="23">
        <f>AP100*100/AI100-100</f>
        <v>2.7515181355654192</v>
      </c>
      <c r="AT100" s="23">
        <f t="shared" si="318"/>
        <v>11.802469135802468</v>
      </c>
      <c r="AU100" s="8"/>
      <c r="AV100" s="22">
        <v>11.5</v>
      </c>
      <c r="AW100" s="10">
        <f>6440/AV100</f>
        <v>560</v>
      </c>
      <c r="AX100" s="11">
        <v>6040</v>
      </c>
      <c r="AY100" s="23">
        <f t="shared" si="319"/>
        <v>-40.104166666666664</v>
      </c>
      <c r="AZ100" s="23">
        <f>AW100*100/AP100-100</f>
        <v>-5.543354124571735</v>
      </c>
      <c r="BA100" s="23">
        <f t="shared" si="320"/>
        <v>-46.64310954063604</v>
      </c>
      <c r="BB100" s="8"/>
      <c r="BC100" s="22">
        <v>17</v>
      </c>
      <c r="BD100" s="10">
        <f>10815/BC100</f>
        <v>636.1764705882352</v>
      </c>
      <c r="BE100" s="11">
        <v>10000</v>
      </c>
      <c r="BF100" s="23">
        <f t="shared" si="321"/>
        <v>47.82608695652175</v>
      </c>
      <c r="BG100" s="23">
        <f>BD100*100/AW100-100</f>
        <v>13.60294117647058</v>
      </c>
      <c r="BH100" s="23">
        <f t="shared" si="322"/>
        <v>65.56291390728478</v>
      </c>
      <c r="BI100" s="8"/>
      <c r="BJ100" s="22">
        <v>18.6</v>
      </c>
      <c r="BK100" s="10">
        <f>13530/BJ100</f>
        <v>727.4193548387096</v>
      </c>
      <c r="BL100" s="11">
        <v>12480</v>
      </c>
      <c r="BM100" s="23">
        <f t="shared" si="353"/>
        <v>9.411764705882362</v>
      </c>
      <c r="BN100" s="23">
        <f>BK100*100/BD100-100</f>
        <v>14.34238587386099</v>
      </c>
      <c r="BO100" s="23">
        <f t="shared" si="323"/>
        <v>24.799999999999997</v>
      </c>
      <c r="BP100" s="8"/>
      <c r="BQ100" s="22">
        <v>13</v>
      </c>
      <c r="BR100" s="10">
        <f>9700/BQ100</f>
        <v>746.1538461538462</v>
      </c>
      <c r="BS100" s="11">
        <v>8230</v>
      </c>
      <c r="BT100" s="23">
        <f t="shared" si="354"/>
        <v>-30.107526881720432</v>
      </c>
      <c r="BU100" s="23">
        <f>BR100*100/BK100-100</f>
        <v>2.575473307180644</v>
      </c>
      <c r="BV100" s="23">
        <f t="shared" si="324"/>
        <v>-34.05448717948718</v>
      </c>
      <c r="BW100" s="8"/>
      <c r="BX100" s="22">
        <v>19.1</v>
      </c>
      <c r="BY100" s="10">
        <f>11580/BX100</f>
        <v>606.282722513089</v>
      </c>
      <c r="BZ100" s="11">
        <v>10110</v>
      </c>
      <c r="CA100" s="23">
        <f t="shared" si="325"/>
        <v>46.923076923076934</v>
      </c>
      <c r="CB100" s="23">
        <f>BY100*100/BR100-100</f>
        <v>-18.745614508555093</v>
      </c>
      <c r="CC100" s="23">
        <f t="shared" si="326"/>
        <v>22.84325637910085</v>
      </c>
      <c r="CD100" s="8"/>
      <c r="CE100" s="22">
        <v>22.2</v>
      </c>
      <c r="CF100" s="10">
        <f>13650/CE100</f>
        <v>614.8648648648649</v>
      </c>
      <c r="CG100" s="11">
        <v>10850</v>
      </c>
      <c r="CH100" s="23">
        <f t="shared" si="327"/>
        <v>16.230366492146587</v>
      </c>
      <c r="CI100" s="23">
        <f>CF100*100/BY100-100</f>
        <v>1.415534705690149</v>
      </c>
      <c r="CJ100" s="23">
        <f t="shared" si="328"/>
        <v>7.319485657764588</v>
      </c>
      <c r="CK100" s="8"/>
      <c r="CL100" s="22">
        <v>22.3</v>
      </c>
      <c r="CM100" s="10">
        <f>13754/CL100</f>
        <v>616.7713004484305</v>
      </c>
      <c r="CN100" s="11">
        <v>10954</v>
      </c>
      <c r="CO100" s="23">
        <f t="shared" si="329"/>
        <v>0.45045045045044674</v>
      </c>
      <c r="CP100" s="23">
        <f>CM100*100/CF100-100</f>
        <v>0.31005765534912655</v>
      </c>
      <c r="CQ100" s="23">
        <f t="shared" si="330"/>
        <v>0.958525345622121</v>
      </c>
      <c r="CR100" s="8"/>
      <c r="CS100" s="22">
        <v>10.1</v>
      </c>
      <c r="CT100" s="10">
        <f>7060/CS100</f>
        <v>699.009900990099</v>
      </c>
      <c r="CU100" s="11">
        <v>5660</v>
      </c>
      <c r="CV100" s="23">
        <f aca="true" t="shared" si="394" ref="CV100:CV114">CS100*100/CL100-100</f>
        <v>-54.7085201793722</v>
      </c>
      <c r="CW100" s="23">
        <f>CT100*100/CM100-100</f>
        <v>13.333726858217304</v>
      </c>
      <c r="CX100" s="23">
        <f aca="true" t="shared" si="395" ref="CX100:CX114">CU100*100/CN100-100</f>
        <v>-48.329377396384885</v>
      </c>
      <c r="CY100" s="8"/>
      <c r="CZ100" s="22">
        <v>18.1</v>
      </c>
      <c r="DA100" s="10">
        <f>10665/CZ100</f>
        <v>589.2265193370165</v>
      </c>
      <c r="DB100" s="11">
        <v>9545</v>
      </c>
      <c r="DC100" s="23">
        <f aca="true" t="shared" si="396" ref="DC100:DC114">CZ100*100/CS100-100</f>
        <v>79.20792079207925</v>
      </c>
      <c r="DD100" s="23">
        <f>DA100*100/CT100-100</f>
        <v>-15.705554599095379</v>
      </c>
      <c r="DE100" s="23">
        <f aca="true" t="shared" si="397" ref="DE100:DE114">DB100*100/CU100-100</f>
        <v>68.63957597173146</v>
      </c>
      <c r="DF100" s="8"/>
      <c r="DG100" s="22">
        <v>18</v>
      </c>
      <c r="DH100" s="10">
        <f>10600/DG100</f>
        <v>588.8888888888889</v>
      </c>
      <c r="DI100" s="11">
        <v>9480</v>
      </c>
      <c r="DJ100" s="23">
        <f aca="true" t="shared" si="398" ref="DJ100:DJ115">DG100*100/CZ100-100</f>
        <v>-0.552486187845318</v>
      </c>
      <c r="DK100" s="23">
        <f>DH100*100/DA100-100</f>
        <v>-0.05730061988850821</v>
      </c>
      <c r="DL100" s="23">
        <f aca="true" t="shared" si="399" ref="DL100:DL115">DI100*100/DB100-100</f>
        <v>-0.6809848088004173</v>
      </c>
      <c r="DM100" s="8"/>
      <c r="DN100" s="22">
        <v>21.5</v>
      </c>
      <c r="DO100" s="10">
        <f>16500/DN100</f>
        <v>767.4418604651163</v>
      </c>
      <c r="DP100" s="11">
        <v>15520</v>
      </c>
      <c r="DQ100" s="23">
        <f aca="true" t="shared" si="400" ref="DQ100:DQ115">DN100*100/DG100-100</f>
        <v>19.444444444444443</v>
      </c>
      <c r="DR100" s="23">
        <f>DO100*100/DH100-100</f>
        <v>30.32031592803861</v>
      </c>
      <c r="DS100" s="23">
        <f aca="true" t="shared" si="401" ref="DS100:DS115">DP100*100/DI100-100</f>
        <v>63.71308016877637</v>
      </c>
      <c r="DT100" s="8"/>
      <c r="DU100" s="22">
        <v>10.75</v>
      </c>
      <c r="DV100" s="10">
        <f>11425/DU100</f>
        <v>1062.7906976744187</v>
      </c>
      <c r="DW100" s="11">
        <v>10725</v>
      </c>
      <c r="DX100" s="23">
        <f aca="true" t="shared" si="402" ref="DX100:DX115">DU100*100/DN100-100</f>
        <v>-50</v>
      </c>
      <c r="DY100" s="23">
        <f>DV100*100/DO100-100</f>
        <v>38.4848484848485</v>
      </c>
      <c r="DZ100" s="23">
        <f aca="true" t="shared" si="403" ref="DZ100:DZ115">DW100*100/DP100-100</f>
        <v>-30.895618556701038</v>
      </c>
      <c r="EA100" s="8"/>
      <c r="EB100" s="22">
        <v>10.5</v>
      </c>
      <c r="EC100" s="10">
        <f>11525/EB100</f>
        <v>1097.6190476190477</v>
      </c>
      <c r="ED100" s="11">
        <v>10825</v>
      </c>
      <c r="EE100" s="23">
        <f aca="true" t="shared" si="404" ref="EE100:EE115">EB100*100/DU100-100</f>
        <v>-2.3255813953488342</v>
      </c>
      <c r="EF100" s="23">
        <f>EC100*100/DV100-100</f>
        <v>3.2770657497134437</v>
      </c>
      <c r="EG100" s="23">
        <f aca="true" t="shared" si="405" ref="EG100:EG115">ED100*100/DW100-100</f>
        <v>0.9324009324009381</v>
      </c>
      <c r="EH100" s="8"/>
      <c r="EI100" s="22">
        <v>8</v>
      </c>
      <c r="EJ100" s="10">
        <f>5850/EI100</f>
        <v>731.25</v>
      </c>
      <c r="EK100" s="11">
        <v>5220</v>
      </c>
      <c r="EL100" s="23">
        <f t="shared" si="343"/>
        <v>-23.80952380952381</v>
      </c>
      <c r="EM100" s="23">
        <f>EJ100*100/EC100-100</f>
        <v>-33.37852494577007</v>
      </c>
      <c r="EN100" s="23">
        <f t="shared" si="344"/>
        <v>-51.77829099307159</v>
      </c>
      <c r="EO100" s="8"/>
      <c r="EP100" s="22">
        <v>5.8</v>
      </c>
      <c r="EQ100" s="10">
        <f>3780/EP100</f>
        <v>651.7241379310345</v>
      </c>
      <c r="ER100" s="11">
        <v>3290</v>
      </c>
      <c r="ES100" s="23">
        <f t="shared" si="345"/>
        <v>-27.5</v>
      </c>
      <c r="ET100" s="23">
        <f>EQ100*100/EJ100-100</f>
        <v>-10.875331564986723</v>
      </c>
      <c r="EU100" s="23">
        <f t="shared" si="346"/>
        <v>-36.97318007662835</v>
      </c>
      <c r="EV100" s="8"/>
      <c r="EW100" s="22">
        <v>6.1</v>
      </c>
      <c r="EX100" s="10">
        <f t="shared" si="377"/>
        <v>632.7868852459017</v>
      </c>
      <c r="EY100" s="11">
        <v>3860</v>
      </c>
      <c r="EZ100" s="11">
        <v>3370</v>
      </c>
      <c r="FA100" s="23">
        <f>EW100*100/EP100-100</f>
        <v>5.172413793103445</v>
      </c>
      <c r="FB100" s="23">
        <f>EX100*100/EQ100-100</f>
        <v>-2.9057160204701233</v>
      </c>
      <c r="FC100" s="23">
        <f>EZ100*100/ER100-100</f>
        <v>2.431610942249236</v>
      </c>
      <c r="FD100" s="8"/>
      <c r="FE100" s="22">
        <v>6.6</v>
      </c>
      <c r="FF100" s="10">
        <f t="shared" si="378"/>
        <v>592.4242424242425</v>
      </c>
      <c r="FG100" s="11">
        <v>3910</v>
      </c>
      <c r="FH100" s="11">
        <v>3560</v>
      </c>
      <c r="FI100" s="23">
        <f t="shared" si="379"/>
        <v>8.196721311475414</v>
      </c>
      <c r="FJ100" s="23">
        <f t="shared" si="373"/>
        <v>-6.3785523630083105</v>
      </c>
      <c r="FK100" s="23">
        <f t="shared" si="373"/>
        <v>1.2953367875647643</v>
      </c>
      <c r="FL100" s="23">
        <f t="shared" si="380"/>
        <v>5.637982195845694</v>
      </c>
      <c r="FM100" s="23"/>
      <c r="FN100" s="22">
        <v>6.1</v>
      </c>
      <c r="FO100" s="10">
        <f t="shared" si="220"/>
        <v>583.6065573770492</v>
      </c>
      <c r="FP100" s="11">
        <v>3560</v>
      </c>
      <c r="FQ100" s="11">
        <v>3280</v>
      </c>
      <c r="FR100" s="23">
        <f>FN100*100/FE100-100</f>
        <v>-7.575757575757564</v>
      </c>
      <c r="FS100" s="23">
        <f>FO100*100/FF100-100</f>
        <v>-1.4884071946669053</v>
      </c>
      <c r="FT100" s="23">
        <f t="shared" si="368"/>
        <v>-8.951406649616374</v>
      </c>
      <c r="FU100" s="23">
        <f t="shared" si="368"/>
        <v>-7.865168539325836</v>
      </c>
      <c r="FV100" s="23"/>
      <c r="FW100" s="22">
        <v>5.9</v>
      </c>
      <c r="FX100" s="10">
        <f>FY100/FW100</f>
        <v>538.9830508474575</v>
      </c>
      <c r="FY100" s="20">
        <v>3180</v>
      </c>
      <c r="FZ100" s="20">
        <v>2900</v>
      </c>
      <c r="GA100" s="23">
        <f t="shared" si="393"/>
        <v>-3.2786885245901516</v>
      </c>
      <c r="GB100" s="23">
        <f t="shared" si="393"/>
        <v>-7.646162635688455</v>
      </c>
      <c r="GC100" s="23">
        <f t="shared" si="393"/>
        <v>-10.67415730337079</v>
      </c>
      <c r="GD100" s="23">
        <f t="shared" si="393"/>
        <v>-11.58536585365853</v>
      </c>
      <c r="GE100" s="23"/>
      <c r="GF100" s="22">
        <v>22.1</v>
      </c>
      <c r="GG100" s="10">
        <f>GH100/GF100</f>
        <v>265.158371040724</v>
      </c>
      <c r="GH100" s="20">
        <v>5860</v>
      </c>
      <c r="GI100" s="20">
        <v>5580</v>
      </c>
      <c r="GJ100" s="23">
        <f t="shared" si="300"/>
        <v>274.57627118644064</v>
      </c>
      <c r="GK100" s="23">
        <f t="shared" si="300"/>
        <v>-50.803950027035484</v>
      </c>
      <c r="GL100" s="23">
        <f t="shared" si="363"/>
        <v>84.27672955974842</v>
      </c>
      <c r="GM100" s="23">
        <f t="shared" si="363"/>
        <v>92.41379310344828</v>
      </c>
      <c r="GN100" s="23"/>
      <c r="GO100" s="22">
        <v>17.1</v>
      </c>
      <c r="GP100" s="10">
        <f>GQ100/GO100</f>
        <v>395.32163742690057</v>
      </c>
      <c r="GQ100" s="20">
        <v>6760</v>
      </c>
      <c r="GR100" s="20">
        <v>6620</v>
      </c>
      <c r="GS100" s="23">
        <f t="shared" si="301"/>
        <v>-22.624434389140262</v>
      </c>
      <c r="GT100" s="23">
        <f t="shared" si="301"/>
        <v>49.08887691355807</v>
      </c>
      <c r="GU100" s="23">
        <f t="shared" si="364"/>
        <v>15.358361774744026</v>
      </c>
      <c r="GV100" s="23">
        <f t="shared" si="365"/>
        <v>18.63799283154121</v>
      </c>
      <c r="GW100" s="23"/>
      <c r="GX100" s="22">
        <v>15.1</v>
      </c>
      <c r="GY100" s="10">
        <f>GZ100/GX100</f>
        <v>295.36423841059604</v>
      </c>
      <c r="GZ100" s="20">
        <v>4460</v>
      </c>
      <c r="HA100" s="20">
        <v>4390</v>
      </c>
      <c r="HB100" s="23">
        <f t="shared" si="302"/>
        <v>-11.695906432748544</v>
      </c>
      <c r="HC100" s="23">
        <f>GY100*100/GP100-100</f>
        <v>-25.28508170382851</v>
      </c>
      <c r="HD100" s="23">
        <f t="shared" si="366"/>
        <v>-34.023668639053255</v>
      </c>
      <c r="HE100" s="23">
        <f t="shared" si="367"/>
        <v>-33.68580060422961</v>
      </c>
      <c r="HF100" s="23"/>
      <c r="HG100" s="22">
        <v>6.6</v>
      </c>
      <c r="HH100" s="10">
        <f>HI100/HG100</f>
        <v>601.5151515151515</v>
      </c>
      <c r="HI100" s="20">
        <v>3970</v>
      </c>
      <c r="HJ100" s="20">
        <v>3900</v>
      </c>
      <c r="HK100" s="23">
        <f t="shared" si="304"/>
        <v>-56.29139072847682</v>
      </c>
      <c r="HL100" s="23">
        <f>HH100*100/GY100-100</f>
        <v>103.65199075961408</v>
      </c>
      <c r="HM100" s="23">
        <f t="shared" si="375"/>
        <v>-10.986547085201792</v>
      </c>
      <c r="HN100" s="23">
        <f t="shared" si="376"/>
        <v>-11.161731207289293</v>
      </c>
      <c r="HO100" s="23"/>
      <c r="HP100" s="22">
        <v>4.6</v>
      </c>
      <c r="HQ100" s="10">
        <f>HR100/HP100</f>
        <v>789.1304347826087</v>
      </c>
      <c r="HR100" s="20">
        <v>3630</v>
      </c>
      <c r="HS100" s="20">
        <v>3560</v>
      </c>
      <c r="HT100" s="23">
        <f t="shared" si="306"/>
        <v>-30.30303030303031</v>
      </c>
      <c r="HU100" s="23">
        <f>HQ100*100/HH100-100</f>
        <v>31.1904501149929</v>
      </c>
      <c r="HV100" s="23">
        <f t="shared" si="370"/>
        <v>-8.56423173803526</v>
      </c>
      <c r="HW100" s="23">
        <f t="shared" si="371"/>
        <v>-8.717948717948715</v>
      </c>
      <c r="HX100" s="23"/>
      <c r="HY100" s="22"/>
      <c r="HZ100" s="10" t="e">
        <f>IA100/HY100</f>
        <v>#DIV/0!</v>
      </c>
      <c r="IA100" s="20"/>
      <c r="IB100" s="20"/>
      <c r="IC100" s="23">
        <f t="shared" si="389"/>
        <v>-100</v>
      </c>
      <c r="ID100" s="23" t="e">
        <f>HZ100*100/HQ100-100</f>
        <v>#DIV/0!</v>
      </c>
      <c r="IE100" s="23">
        <f t="shared" si="383"/>
        <v>-100</v>
      </c>
      <c r="IF100" s="23">
        <f t="shared" si="384"/>
        <v>-100</v>
      </c>
      <c r="IG100" s="23"/>
      <c r="IH100" s="1" t="s">
        <v>96</v>
      </c>
      <c r="II100" s="29">
        <f t="shared" si="386"/>
        <v>9.94</v>
      </c>
      <c r="IJ100" s="30">
        <f t="shared" si="387"/>
        <v>528.8134272219058</v>
      </c>
      <c r="IK100" s="29">
        <f t="shared" si="388"/>
        <v>4211</v>
      </c>
      <c r="IL100" s="25">
        <f t="shared" si="360"/>
        <v>-53.72233400402415</v>
      </c>
      <c r="IM100" s="25">
        <f t="shared" si="361"/>
        <v>49.22662590627945</v>
      </c>
      <c r="IN100" s="25">
        <f t="shared" si="362"/>
        <v>-15.459510805034427</v>
      </c>
      <c r="IP100" s="30">
        <f>HP100*100/Italia!BR100</f>
        <v>2.251260216316742</v>
      </c>
      <c r="IQ100" s="30">
        <f>HR100*100/Italia!BT100</f>
        <v>4.08126552960885</v>
      </c>
      <c r="IR100" s="30">
        <f>HS100*100/Italia!BU100</f>
        <v>4.215961440532443</v>
      </c>
    </row>
    <row r="101" spans="1:252" ht="12">
      <c r="A101" s="1" t="s">
        <v>97</v>
      </c>
      <c r="B101" s="19">
        <f>B100+B99</f>
        <v>296.61</v>
      </c>
      <c r="C101" s="6" t="s">
        <v>1</v>
      </c>
      <c r="D101" s="9">
        <f>D100+D99</f>
        <v>119998</v>
      </c>
      <c r="E101" s="9"/>
      <c r="F101" s="19">
        <f>F99+F100</f>
        <v>335.13</v>
      </c>
      <c r="G101" s="6" t="s">
        <v>1</v>
      </c>
      <c r="H101" s="9">
        <f>H100+H99</f>
        <v>137583</v>
      </c>
      <c r="I101" s="23">
        <f t="shared" si="349"/>
        <v>12.986750278143006</v>
      </c>
      <c r="J101" s="24" t="s">
        <v>1</v>
      </c>
      <c r="K101" s="23">
        <f t="shared" si="350"/>
        <v>14.654410906848454</v>
      </c>
      <c r="L101" s="8"/>
      <c r="M101" s="19">
        <f>M99+M100</f>
        <v>346.58</v>
      </c>
      <c r="N101" s="6" t="s">
        <v>1</v>
      </c>
      <c r="O101" s="9">
        <f>O100+O99</f>
        <v>145179</v>
      </c>
      <c r="P101" s="23">
        <f t="shared" si="351"/>
        <v>3.41658460895772</v>
      </c>
      <c r="Q101" s="24" t="s">
        <v>1</v>
      </c>
      <c r="R101" s="23">
        <f t="shared" si="352"/>
        <v>5.521030941322692</v>
      </c>
      <c r="S101" s="8"/>
      <c r="T101" s="19">
        <f>T99+T100</f>
        <v>345.1</v>
      </c>
      <c r="U101" s="6" t="s">
        <v>1</v>
      </c>
      <c r="V101" s="9">
        <f>V100+V99</f>
        <v>143600</v>
      </c>
      <c r="W101" s="23">
        <f t="shared" si="391"/>
        <v>-0.4270298343816705</v>
      </c>
      <c r="X101" s="24" t="s">
        <v>1</v>
      </c>
      <c r="Y101" s="23">
        <f t="shared" si="392"/>
        <v>-1.0876228655659617</v>
      </c>
      <c r="Z101" s="8"/>
      <c r="AA101" s="19">
        <f>AA99+AA100</f>
        <v>339.6</v>
      </c>
      <c r="AB101" s="6" t="s">
        <v>1</v>
      </c>
      <c r="AC101" s="9">
        <f>AC100+AC99</f>
        <v>145915</v>
      </c>
      <c r="AD101" s="23">
        <f t="shared" si="313"/>
        <v>-1.5937409446537316</v>
      </c>
      <c r="AE101" s="24" t="s">
        <v>1</v>
      </c>
      <c r="AF101" s="23">
        <f t="shared" si="314"/>
        <v>1.612116991643461</v>
      </c>
      <c r="AG101" s="8"/>
      <c r="AH101" s="19">
        <f>AH99+AH100</f>
        <v>330.6</v>
      </c>
      <c r="AI101" s="6" t="s">
        <v>1</v>
      </c>
      <c r="AJ101" s="9">
        <f>AJ100+AJ99</f>
        <v>143725</v>
      </c>
      <c r="AK101" s="23">
        <f t="shared" si="315"/>
        <v>-2.6501766784452343</v>
      </c>
      <c r="AL101" s="24" t="s">
        <v>1</v>
      </c>
      <c r="AM101" s="23">
        <f t="shared" si="316"/>
        <v>-1.500873796388305</v>
      </c>
      <c r="AN101" s="8"/>
      <c r="AO101" s="19">
        <f>AO99+AO100</f>
        <v>340.2</v>
      </c>
      <c r="AP101" s="6" t="s">
        <v>1</v>
      </c>
      <c r="AQ101" s="9">
        <f>AQ100+AQ99</f>
        <v>142320</v>
      </c>
      <c r="AR101" s="23">
        <f t="shared" si="317"/>
        <v>2.9038112522685964</v>
      </c>
      <c r="AS101" s="24" t="s">
        <v>1</v>
      </c>
      <c r="AT101" s="23">
        <f t="shared" si="318"/>
        <v>-0.9775613150113003</v>
      </c>
      <c r="AU101" s="8"/>
      <c r="AV101" s="19">
        <f>AV99+AV100</f>
        <v>319.5</v>
      </c>
      <c r="AW101" s="6" t="s">
        <v>1</v>
      </c>
      <c r="AX101" s="9">
        <f>AX100+AX99</f>
        <v>148578</v>
      </c>
      <c r="AY101" s="23">
        <f t="shared" si="319"/>
        <v>-6.084656084656075</v>
      </c>
      <c r="AZ101" s="24" t="s">
        <v>1</v>
      </c>
      <c r="BA101" s="23">
        <f t="shared" si="320"/>
        <v>4.397133220910618</v>
      </c>
      <c r="BB101" s="8"/>
      <c r="BC101" s="19">
        <f>BC99+BC100</f>
        <v>287</v>
      </c>
      <c r="BD101" s="6" t="s">
        <v>1</v>
      </c>
      <c r="BE101" s="9">
        <f>BE100+BE99</f>
        <v>146472</v>
      </c>
      <c r="BF101" s="23">
        <f t="shared" si="321"/>
        <v>-10.172143974960875</v>
      </c>
      <c r="BG101" s="24" t="s">
        <v>1</v>
      </c>
      <c r="BH101" s="23">
        <f t="shared" si="322"/>
        <v>-1.4174373056576286</v>
      </c>
      <c r="BI101" s="8"/>
      <c r="BJ101" s="19">
        <f>BJ99+BJ100</f>
        <v>281.6</v>
      </c>
      <c r="BK101" s="6" t="s">
        <v>1</v>
      </c>
      <c r="BL101" s="9">
        <f>BL100+BL99</f>
        <v>159945</v>
      </c>
      <c r="BM101" s="23">
        <f t="shared" si="353"/>
        <v>-1.881533101045278</v>
      </c>
      <c r="BN101" s="24" t="s">
        <v>1</v>
      </c>
      <c r="BO101" s="23">
        <f t="shared" si="323"/>
        <v>9.198345076192041</v>
      </c>
      <c r="BP101" s="8"/>
      <c r="BQ101" s="19">
        <f>BQ99+BQ100</f>
        <v>270</v>
      </c>
      <c r="BR101" s="6" t="s">
        <v>1</v>
      </c>
      <c r="BS101" s="9">
        <f>BS100+BS99</f>
        <v>154753</v>
      </c>
      <c r="BT101" s="23">
        <f t="shared" si="354"/>
        <v>-4.119318181818187</v>
      </c>
      <c r="BU101" s="24" t="s">
        <v>1</v>
      </c>
      <c r="BV101" s="23">
        <f t="shared" si="324"/>
        <v>-3.2461158523242375</v>
      </c>
      <c r="BW101" s="8"/>
      <c r="BX101" s="19">
        <f>BX99+BX100</f>
        <v>261.1</v>
      </c>
      <c r="BY101" s="6" t="s">
        <v>1</v>
      </c>
      <c r="BZ101" s="9">
        <f>BZ100+BZ99</f>
        <v>132162</v>
      </c>
      <c r="CA101" s="23">
        <f t="shared" si="325"/>
        <v>-3.2962962962962763</v>
      </c>
      <c r="CB101" s="24" t="s">
        <v>1</v>
      </c>
      <c r="CC101" s="23">
        <f t="shared" si="326"/>
        <v>-14.598101490762701</v>
      </c>
      <c r="CD101" s="8"/>
      <c r="CE101" s="19">
        <f>CE99+CE100</f>
        <v>256.2</v>
      </c>
      <c r="CF101" s="6" t="s">
        <v>1</v>
      </c>
      <c r="CG101" s="9">
        <f>CG100+CG99</f>
        <v>115344</v>
      </c>
      <c r="CH101" s="23">
        <f t="shared" si="327"/>
        <v>-1.8766756032171656</v>
      </c>
      <c r="CI101" s="24" t="s">
        <v>1</v>
      </c>
      <c r="CJ101" s="23">
        <f t="shared" si="328"/>
        <v>-12.725291687474467</v>
      </c>
      <c r="CK101" s="8"/>
      <c r="CL101" s="19">
        <f>CL99+CL100</f>
        <v>262.3</v>
      </c>
      <c r="CM101" s="6" t="s">
        <v>1</v>
      </c>
      <c r="CN101" s="9">
        <f>CN100+CN99</f>
        <v>121992</v>
      </c>
      <c r="CO101" s="23">
        <f t="shared" si="329"/>
        <v>2.3809523809523796</v>
      </c>
      <c r="CP101" s="24" t="s">
        <v>1</v>
      </c>
      <c r="CQ101" s="23">
        <f t="shared" si="330"/>
        <v>5.763628797336665</v>
      </c>
      <c r="CR101" s="8"/>
      <c r="CS101" s="19">
        <f>CS99+CS100</f>
        <v>311.1</v>
      </c>
      <c r="CT101" s="6" t="s">
        <v>1</v>
      </c>
      <c r="CU101" s="9">
        <f>CU100+CU99</f>
        <v>96735</v>
      </c>
      <c r="CV101" s="23">
        <f t="shared" si="394"/>
        <v>18.604651162790702</v>
      </c>
      <c r="CW101" s="24" t="s">
        <v>1</v>
      </c>
      <c r="CX101" s="23">
        <f t="shared" si="395"/>
        <v>-20.703816643714347</v>
      </c>
      <c r="CY101" s="8"/>
      <c r="CZ101" s="19">
        <f>CZ99+CZ100</f>
        <v>248.1</v>
      </c>
      <c r="DA101" s="6" t="s">
        <v>1</v>
      </c>
      <c r="DB101" s="9">
        <f>DB100+DB99</f>
        <v>96930</v>
      </c>
      <c r="DC101" s="23">
        <f t="shared" si="396"/>
        <v>-20.25072324011572</v>
      </c>
      <c r="DD101" s="24" t="s">
        <v>1</v>
      </c>
      <c r="DE101" s="23">
        <f t="shared" si="397"/>
        <v>0.2015816405644273</v>
      </c>
      <c r="DF101" s="8"/>
      <c r="DG101" s="19">
        <f>DG99+DG100</f>
        <v>238</v>
      </c>
      <c r="DH101" s="6" t="s">
        <v>1</v>
      </c>
      <c r="DI101" s="9">
        <f>DI100+DI99</f>
        <v>88835</v>
      </c>
      <c r="DJ101" s="23">
        <f t="shared" si="398"/>
        <v>-4.070939137444583</v>
      </c>
      <c r="DK101" s="24" t="s">
        <v>1</v>
      </c>
      <c r="DL101" s="23">
        <f t="shared" si="399"/>
        <v>-8.351387599298462</v>
      </c>
      <c r="DM101" s="8"/>
      <c r="DN101" s="19">
        <f>DN99+DN100</f>
        <v>173.5</v>
      </c>
      <c r="DO101" s="6" t="s">
        <v>1</v>
      </c>
      <c r="DP101" s="9">
        <f>DP100+DP99</f>
        <v>74955</v>
      </c>
      <c r="DQ101" s="23">
        <f t="shared" si="400"/>
        <v>-27.100840336134453</v>
      </c>
      <c r="DR101" s="24" t="s">
        <v>1</v>
      </c>
      <c r="DS101" s="23">
        <f t="shared" si="401"/>
        <v>-15.624472336353918</v>
      </c>
      <c r="DT101" s="8"/>
      <c r="DU101" s="19">
        <f>DU99+DU100</f>
        <v>142.75</v>
      </c>
      <c r="DV101" s="6" t="s">
        <v>1</v>
      </c>
      <c r="DW101" s="9">
        <f>DW100+DW99</f>
        <v>79415</v>
      </c>
      <c r="DX101" s="23">
        <f t="shared" si="402"/>
        <v>-17.72334293948127</v>
      </c>
      <c r="DY101" s="24" t="s">
        <v>1</v>
      </c>
      <c r="DZ101" s="23">
        <f t="shared" si="403"/>
        <v>5.950236808751924</v>
      </c>
      <c r="EA101" s="8"/>
      <c r="EB101" s="19">
        <f>EB99+EB100</f>
        <v>144.5</v>
      </c>
      <c r="EC101" s="6" t="s">
        <v>1</v>
      </c>
      <c r="ED101" s="9">
        <f>ED100+ED99</f>
        <v>83210</v>
      </c>
      <c r="EE101" s="23">
        <f t="shared" si="404"/>
        <v>1.225919439579684</v>
      </c>
      <c r="EF101" s="24" t="s">
        <v>1</v>
      </c>
      <c r="EG101" s="23">
        <f t="shared" si="405"/>
        <v>4.778694201347349</v>
      </c>
      <c r="EH101" s="8"/>
      <c r="EI101" s="19">
        <f>EI99+EI100</f>
        <v>129</v>
      </c>
      <c r="EJ101" s="6" t="s">
        <v>1</v>
      </c>
      <c r="EK101" s="9">
        <f>EK100+EK99</f>
        <v>70100</v>
      </c>
      <c r="EL101" s="23">
        <f t="shared" si="343"/>
        <v>-10.726643598615922</v>
      </c>
      <c r="EM101" s="24" t="s">
        <v>1</v>
      </c>
      <c r="EN101" s="23">
        <f t="shared" si="344"/>
        <v>-15.755317870448266</v>
      </c>
      <c r="EO101" s="8"/>
      <c r="EP101" s="19">
        <f>EP99+EP100</f>
        <v>123.8</v>
      </c>
      <c r="EQ101" s="6" t="s">
        <v>1</v>
      </c>
      <c r="ER101" s="9">
        <f>ER100+ER99</f>
        <v>66540</v>
      </c>
      <c r="ES101" s="23">
        <f t="shared" si="345"/>
        <v>-4.0310077519379774</v>
      </c>
      <c r="ET101" s="24" t="s">
        <v>1</v>
      </c>
      <c r="EU101" s="23">
        <f t="shared" si="346"/>
        <v>-5.078459343794577</v>
      </c>
      <c r="EV101" s="8"/>
      <c r="EW101" s="19">
        <f>EW99+EW100</f>
        <v>112.1</v>
      </c>
      <c r="EX101" s="10">
        <f t="shared" si="377"/>
        <v>572.3907225691347</v>
      </c>
      <c r="EY101" s="9">
        <f>EY100+EY99</f>
        <v>64165</v>
      </c>
      <c r="EZ101" s="9">
        <f>EZ100+EZ99</f>
        <v>60870</v>
      </c>
      <c r="FA101" s="23">
        <f>EW101*100/EP101-100</f>
        <v>-9.45072697899839</v>
      </c>
      <c r="FB101" s="24" t="s">
        <v>1</v>
      </c>
      <c r="FC101" s="23">
        <f>EZ101*100/ER101-100</f>
        <v>-8.521190261496841</v>
      </c>
      <c r="FD101" s="8"/>
      <c r="FE101" s="19">
        <f>FE99+FE100</f>
        <v>332.6</v>
      </c>
      <c r="FF101" s="10">
        <f t="shared" si="378"/>
        <v>740.9350571256764</v>
      </c>
      <c r="FG101" s="9">
        <f>FG100+FG99</f>
        <v>246435</v>
      </c>
      <c r="FH101" s="9">
        <f>FH100+FH99</f>
        <v>243790</v>
      </c>
      <c r="FI101" s="23">
        <f t="shared" si="379"/>
        <v>196.6993755575379</v>
      </c>
      <c r="FJ101" s="23">
        <f t="shared" si="373"/>
        <v>29.445678958604105</v>
      </c>
      <c r="FK101" s="23">
        <f t="shared" si="373"/>
        <v>284.06452115639365</v>
      </c>
      <c r="FL101" s="23">
        <f t="shared" si="380"/>
        <v>300.5092820765566</v>
      </c>
      <c r="FM101" s="23"/>
      <c r="FN101" s="19">
        <f>FN99+FN100</f>
        <v>88.1</v>
      </c>
      <c r="FO101" s="6" t="s">
        <v>1</v>
      </c>
      <c r="FP101" s="9">
        <f>FP100+FP99</f>
        <v>51625</v>
      </c>
      <c r="FQ101" s="9">
        <f>FQ100+FQ99</f>
        <v>49305</v>
      </c>
      <c r="FR101" s="24" t="s">
        <v>1</v>
      </c>
      <c r="FS101" s="24" t="s">
        <v>1</v>
      </c>
      <c r="FT101" s="23">
        <f t="shared" si="368"/>
        <v>-79.05127112626047</v>
      </c>
      <c r="FU101" s="23">
        <f t="shared" si="368"/>
        <v>-79.77562656384593</v>
      </c>
      <c r="FV101" s="23"/>
      <c r="FW101" s="19">
        <f>FW99+FW100</f>
        <v>84.9</v>
      </c>
      <c r="FX101" s="6" t="s">
        <v>1</v>
      </c>
      <c r="FY101" s="19">
        <f>FY99+FY100</f>
        <v>49570</v>
      </c>
      <c r="FZ101" s="19">
        <f>FZ99+FZ100</f>
        <v>47250</v>
      </c>
      <c r="GA101" s="24" t="s">
        <v>1</v>
      </c>
      <c r="GB101" s="24" t="s">
        <v>1</v>
      </c>
      <c r="GC101" s="24" t="s">
        <v>1</v>
      </c>
      <c r="GD101" s="24" t="s">
        <v>1</v>
      </c>
      <c r="GE101" s="23"/>
      <c r="GF101" s="19">
        <f>GF99+GF100</f>
        <v>99.1</v>
      </c>
      <c r="GG101" s="6" t="s">
        <v>1</v>
      </c>
      <c r="GH101" s="19">
        <f>GH99+GH100</f>
        <v>62420</v>
      </c>
      <c r="GI101" s="19">
        <f>GI99+GI100</f>
        <v>60480</v>
      </c>
      <c r="GJ101" s="23">
        <f t="shared" si="300"/>
        <v>16.72555948174322</v>
      </c>
      <c r="GK101" s="24" t="s">
        <v>1</v>
      </c>
      <c r="GL101" s="23">
        <f t="shared" si="363"/>
        <v>25.92293726043978</v>
      </c>
      <c r="GM101" s="23">
        <f t="shared" si="363"/>
        <v>28</v>
      </c>
      <c r="GN101" s="23"/>
      <c r="GO101" s="19">
        <f>GO99+GO100</f>
        <v>105.1</v>
      </c>
      <c r="GP101" s="6" t="s">
        <v>1</v>
      </c>
      <c r="GQ101" s="19">
        <f>GQ99+GQ100</f>
        <v>69890</v>
      </c>
      <c r="GR101" s="19">
        <f>GR99+GR100</f>
        <v>68310</v>
      </c>
      <c r="GS101" s="23">
        <f t="shared" si="301"/>
        <v>6.054490413723514</v>
      </c>
      <c r="GT101" s="24" t="s">
        <v>1</v>
      </c>
      <c r="GU101" s="23">
        <f t="shared" si="364"/>
        <v>11.967318167254092</v>
      </c>
      <c r="GV101" s="23">
        <f t="shared" si="365"/>
        <v>12.94642857142857</v>
      </c>
      <c r="GW101" s="23"/>
      <c r="GX101" s="19">
        <f>GX99+GX100</f>
        <v>106.1</v>
      </c>
      <c r="GY101" s="6" t="s">
        <v>1</v>
      </c>
      <c r="GZ101" s="19">
        <f>GZ99+GZ100</f>
        <v>70300</v>
      </c>
      <c r="HA101" s="19">
        <f>HA99+HA100</f>
        <v>68790</v>
      </c>
      <c r="HB101" s="23">
        <f t="shared" si="302"/>
        <v>0.9514747859181796</v>
      </c>
      <c r="HC101" s="24" t="s">
        <v>1</v>
      </c>
      <c r="HD101" s="23">
        <f t="shared" si="366"/>
        <v>0.5866361425096613</v>
      </c>
      <c r="HE101" s="23">
        <f t="shared" si="367"/>
        <v>0.7026789635485358</v>
      </c>
      <c r="HF101" s="23"/>
      <c r="HG101" s="19">
        <f>HG99+HG100</f>
        <v>102.6</v>
      </c>
      <c r="HH101" s="6" t="s">
        <v>1</v>
      </c>
      <c r="HI101" s="19">
        <f>HI99+HI100</f>
        <v>73150</v>
      </c>
      <c r="HJ101" s="19">
        <f>HJ99+HJ100</f>
        <v>73080</v>
      </c>
      <c r="HK101" s="23">
        <f t="shared" si="304"/>
        <v>-3.2987747408105577</v>
      </c>
      <c r="HL101" s="24" t="s">
        <v>1</v>
      </c>
      <c r="HM101" s="23">
        <f t="shared" si="375"/>
        <v>4.054054054054049</v>
      </c>
      <c r="HN101" s="23">
        <f t="shared" si="376"/>
        <v>6.236371565634542</v>
      </c>
      <c r="HO101" s="23"/>
      <c r="HP101" s="19">
        <f>HP99+HP100</f>
        <v>145.6</v>
      </c>
      <c r="HQ101" s="6" t="s">
        <v>1</v>
      </c>
      <c r="HR101" s="19">
        <f>HR99+HR100</f>
        <v>105405</v>
      </c>
      <c r="HS101" s="19">
        <f>HS99+HS100</f>
        <v>105335</v>
      </c>
      <c r="HT101" s="23">
        <f t="shared" si="306"/>
        <v>41.91033138401559</v>
      </c>
      <c r="HU101" s="24" t="s">
        <v>1</v>
      </c>
      <c r="HV101" s="23">
        <f t="shared" si="370"/>
        <v>44.09432672590566</v>
      </c>
      <c r="HW101" s="23">
        <f t="shared" si="371"/>
        <v>44.136562671045425</v>
      </c>
      <c r="HX101" s="23"/>
      <c r="HY101" s="19">
        <f>HY99+HY100</f>
        <v>0</v>
      </c>
      <c r="HZ101" s="6" t="s">
        <v>1</v>
      </c>
      <c r="IA101" s="19">
        <f>IA99+IA100</f>
        <v>0</v>
      </c>
      <c r="IB101" s="19">
        <f>IB99+IB100</f>
        <v>0</v>
      </c>
      <c r="IC101" s="23">
        <f t="shared" si="389"/>
        <v>-100</v>
      </c>
      <c r="ID101" s="24" t="s">
        <v>1</v>
      </c>
      <c r="IE101" s="23">
        <f t="shared" si="383"/>
        <v>-100</v>
      </c>
      <c r="IF101" s="23">
        <f t="shared" si="384"/>
        <v>-100</v>
      </c>
      <c r="IG101" s="23"/>
      <c r="IH101" s="1" t="s">
        <v>97</v>
      </c>
      <c r="II101" s="29">
        <f t="shared" si="386"/>
        <v>128.33999999999997</v>
      </c>
      <c r="IJ101" s="30">
        <f t="shared" si="387"/>
        <v>656.6628898474055</v>
      </c>
      <c r="IK101" s="29">
        <f t="shared" si="388"/>
        <v>80851.5</v>
      </c>
      <c r="IL101" s="25">
        <f t="shared" si="360"/>
        <v>13.448652018076999</v>
      </c>
      <c r="IM101" s="25">
        <f t="shared" si="361"/>
        <v>-100</v>
      </c>
      <c r="IN101" s="25">
        <f t="shared" si="362"/>
        <v>30.28206032046407</v>
      </c>
      <c r="IP101" s="30">
        <f>HP101*100/Italia!BR101</f>
        <v>4.541017300153134</v>
      </c>
      <c r="IQ101" s="30">
        <f>HR101*100/Italia!BT101</f>
        <v>8.673445457395571</v>
      </c>
      <c r="IR101" s="30">
        <f>HS101*100/Italia!BU101</f>
        <v>8.912352070693013</v>
      </c>
    </row>
    <row r="102" spans="1:252" ht="12">
      <c r="A102" s="1" t="s">
        <v>98</v>
      </c>
      <c r="B102" s="20">
        <v>621</v>
      </c>
      <c r="C102" s="10">
        <v>165.4</v>
      </c>
      <c r="D102" s="11">
        <v>99800</v>
      </c>
      <c r="E102" s="9"/>
      <c r="F102" s="20">
        <v>664</v>
      </c>
      <c r="G102" s="10">
        <v>168.6</v>
      </c>
      <c r="H102" s="11">
        <v>109900</v>
      </c>
      <c r="I102" s="23">
        <f t="shared" si="349"/>
        <v>6.9243156199678</v>
      </c>
      <c r="J102" s="23">
        <f>G102*100/C102-100</f>
        <v>1.9347037484885021</v>
      </c>
      <c r="K102" s="23">
        <f t="shared" si="350"/>
        <v>10.120240480961925</v>
      </c>
      <c r="L102" s="8"/>
      <c r="M102" s="20">
        <v>624</v>
      </c>
      <c r="N102" s="10">
        <f>98051/M102</f>
        <v>157.13301282051282</v>
      </c>
      <c r="O102" s="11">
        <v>97000</v>
      </c>
      <c r="P102" s="23">
        <f t="shared" si="351"/>
        <v>-6.024096385542165</v>
      </c>
      <c r="Q102" s="23">
        <f>N102*100/G102-100</f>
        <v>-6.801297259482311</v>
      </c>
      <c r="R102" s="23">
        <f t="shared" si="352"/>
        <v>-11.737943585077346</v>
      </c>
      <c r="S102" s="8"/>
      <c r="T102" s="20">
        <v>602</v>
      </c>
      <c r="U102" s="10">
        <v>131.6</v>
      </c>
      <c r="V102" s="11">
        <v>77800</v>
      </c>
      <c r="W102" s="23">
        <f t="shared" si="391"/>
        <v>-3.525641025641022</v>
      </c>
      <c r="X102" s="23">
        <f>U102*100/N102-100</f>
        <v>-16.24929883428011</v>
      </c>
      <c r="Y102" s="23">
        <f t="shared" si="392"/>
        <v>-19.79381443298969</v>
      </c>
      <c r="Z102" s="8"/>
      <c r="AA102" s="20">
        <v>545</v>
      </c>
      <c r="AB102" s="10">
        <v>147.6</v>
      </c>
      <c r="AC102" s="11">
        <v>79000</v>
      </c>
      <c r="AD102" s="23">
        <f t="shared" si="313"/>
        <v>-9.468438538205973</v>
      </c>
      <c r="AE102" s="23">
        <f>AB102*100/U102-100</f>
        <v>12.158054711246209</v>
      </c>
      <c r="AF102" s="23">
        <f t="shared" si="314"/>
        <v>1.5424164524421542</v>
      </c>
      <c r="AG102" s="8"/>
      <c r="AH102" s="20">
        <v>621</v>
      </c>
      <c r="AI102" s="10">
        <v>161.7</v>
      </c>
      <c r="AJ102" s="11">
        <v>97400</v>
      </c>
      <c r="AK102" s="23">
        <f t="shared" si="315"/>
        <v>13.944954128440372</v>
      </c>
      <c r="AL102" s="23">
        <f>AI102*100/AB102-100</f>
        <v>9.55284552845528</v>
      </c>
      <c r="AM102" s="23">
        <f t="shared" si="316"/>
        <v>23.291139240506325</v>
      </c>
      <c r="AN102" s="8"/>
      <c r="AO102" s="20">
        <v>626</v>
      </c>
      <c r="AP102" s="10">
        <v>157.9</v>
      </c>
      <c r="AQ102" s="11">
        <v>90700</v>
      </c>
      <c r="AR102" s="23">
        <f t="shared" si="317"/>
        <v>0.8051529790660226</v>
      </c>
      <c r="AS102" s="23">
        <f>AP102*100/AI102-100</f>
        <v>-2.350030921459492</v>
      </c>
      <c r="AT102" s="23">
        <f t="shared" si="318"/>
        <v>-6.8788501026694036</v>
      </c>
      <c r="AU102" s="8"/>
      <c r="AV102" s="20">
        <v>616</v>
      </c>
      <c r="AW102" s="10">
        <v>163.2</v>
      </c>
      <c r="AX102" s="11">
        <v>90749</v>
      </c>
      <c r="AY102" s="23">
        <f t="shared" si="319"/>
        <v>-1.5974440894568716</v>
      </c>
      <c r="AZ102" s="23">
        <f>AW102*100/AP102-100</f>
        <v>3.3565547815072705</v>
      </c>
      <c r="BA102" s="23">
        <f t="shared" si="320"/>
        <v>0.054024255788306164</v>
      </c>
      <c r="BB102" s="8"/>
      <c r="BC102" s="20">
        <v>647</v>
      </c>
      <c r="BD102" s="10">
        <v>152.4</v>
      </c>
      <c r="BE102" s="11">
        <v>97866</v>
      </c>
      <c r="BF102" s="23">
        <f t="shared" si="321"/>
        <v>5.032467532467535</v>
      </c>
      <c r="BG102" s="23">
        <f>BD102*100/AW102-100</f>
        <v>-6.617647058823522</v>
      </c>
      <c r="BH102" s="23">
        <f t="shared" si="322"/>
        <v>7.842510661274503</v>
      </c>
      <c r="BI102" s="8"/>
      <c r="BJ102" s="20">
        <v>594</v>
      </c>
      <c r="BK102" s="10">
        <v>140.1</v>
      </c>
      <c r="BL102" s="11">
        <v>82986</v>
      </c>
      <c r="BM102" s="23">
        <f t="shared" si="353"/>
        <v>-8.191653786707889</v>
      </c>
      <c r="BN102" s="23">
        <f>BK102*100/BD102-100</f>
        <v>-8.070866141732282</v>
      </c>
      <c r="BO102" s="23">
        <f t="shared" si="323"/>
        <v>-15.204463245662438</v>
      </c>
      <c r="BP102" s="8"/>
      <c r="BQ102" s="20">
        <v>604</v>
      </c>
      <c r="BR102" s="10">
        <v>157.2</v>
      </c>
      <c r="BS102" s="11">
        <v>94982</v>
      </c>
      <c r="BT102" s="23">
        <f t="shared" si="354"/>
        <v>1.6835016835016887</v>
      </c>
      <c r="BU102" s="23">
        <f>BR102*100/BK102-100</f>
        <v>12.205567451820116</v>
      </c>
      <c r="BV102" s="23">
        <f t="shared" si="324"/>
        <v>14.455450316920931</v>
      </c>
      <c r="BW102" s="8"/>
      <c r="BX102" s="20">
        <v>597</v>
      </c>
      <c r="BY102" s="10">
        <v>151.3</v>
      </c>
      <c r="BZ102" s="11">
        <v>85851</v>
      </c>
      <c r="CA102" s="23">
        <f t="shared" si="325"/>
        <v>-1.1589403973509889</v>
      </c>
      <c r="CB102" s="23">
        <f>BY102*100/BR102-100</f>
        <v>-3.753180661577588</v>
      </c>
      <c r="CC102" s="23">
        <f t="shared" si="326"/>
        <v>-9.613400433766401</v>
      </c>
      <c r="CD102" s="8"/>
      <c r="CE102" s="20">
        <v>592</v>
      </c>
      <c r="CF102" s="10">
        <v>140.7</v>
      </c>
      <c r="CG102" s="11">
        <v>81630</v>
      </c>
      <c r="CH102" s="23">
        <f t="shared" si="327"/>
        <v>-0.8375209380234452</v>
      </c>
      <c r="CI102" s="23">
        <f>CF102*100/BY102-100</f>
        <v>-7.005948446794463</v>
      </c>
      <c r="CJ102" s="23">
        <f t="shared" si="328"/>
        <v>-4.916657930600692</v>
      </c>
      <c r="CK102" s="8"/>
      <c r="CL102" s="20">
        <v>694</v>
      </c>
      <c r="CM102" s="10">
        <v>154.2</v>
      </c>
      <c r="CN102" s="11">
        <v>102464</v>
      </c>
      <c r="CO102" s="23">
        <f t="shared" si="329"/>
        <v>17.229729729729726</v>
      </c>
      <c r="CP102" s="23">
        <f>CM102*100/CF102-100</f>
        <v>9.59488272921108</v>
      </c>
      <c r="CQ102" s="23">
        <f t="shared" si="330"/>
        <v>25.522479480583115</v>
      </c>
      <c r="CR102" s="8"/>
      <c r="CS102" s="20">
        <v>519</v>
      </c>
      <c r="CT102" s="10">
        <v>175.6</v>
      </c>
      <c r="CU102" s="11">
        <v>90889</v>
      </c>
      <c r="CV102" s="23">
        <f t="shared" si="394"/>
        <v>-25.216138328530263</v>
      </c>
      <c r="CW102" s="23">
        <f>CT102*100/CM102-100</f>
        <v>13.878080415045403</v>
      </c>
      <c r="CX102" s="23">
        <f t="shared" si="395"/>
        <v>-11.296650530918171</v>
      </c>
      <c r="CY102" s="8"/>
      <c r="CZ102" s="20">
        <v>496</v>
      </c>
      <c r="DA102" s="10">
        <v>184.5</v>
      </c>
      <c r="DB102" s="11">
        <v>91262</v>
      </c>
      <c r="DC102" s="23">
        <f t="shared" si="396"/>
        <v>-4.431599229287087</v>
      </c>
      <c r="DD102" s="23">
        <f>DA102*100/CT102-100</f>
        <v>5.068337129840543</v>
      </c>
      <c r="DE102" s="23">
        <f t="shared" si="397"/>
        <v>0.4103906963438959</v>
      </c>
      <c r="DF102" s="8"/>
      <c r="DG102" s="20">
        <v>630</v>
      </c>
      <c r="DH102" s="10">
        <v>183</v>
      </c>
      <c r="DI102" s="11">
        <v>114943</v>
      </c>
      <c r="DJ102" s="23">
        <f t="shared" si="398"/>
        <v>27.016129032258064</v>
      </c>
      <c r="DK102" s="23">
        <f>DH102*100/DA102-100</f>
        <v>-0.8130081300813004</v>
      </c>
      <c r="DL102" s="23">
        <f t="shared" si="399"/>
        <v>25.948368433740214</v>
      </c>
      <c r="DM102" s="8"/>
      <c r="DN102" s="20">
        <v>577</v>
      </c>
      <c r="DO102" s="10">
        <v>207.1</v>
      </c>
      <c r="DP102" s="11">
        <v>119120</v>
      </c>
      <c r="DQ102" s="23">
        <f t="shared" si="400"/>
        <v>-8.412698412698418</v>
      </c>
      <c r="DR102" s="23">
        <f>DO102*100/DH102-100</f>
        <v>13.169398907103826</v>
      </c>
      <c r="DS102" s="23">
        <f t="shared" si="401"/>
        <v>3.633975100702088</v>
      </c>
      <c r="DT102" s="8"/>
      <c r="DU102" s="20">
        <v>653</v>
      </c>
      <c r="DV102" s="10">
        <v>176.7</v>
      </c>
      <c r="DW102" s="11">
        <v>115071</v>
      </c>
      <c r="DX102" s="23">
        <f t="shared" si="402"/>
        <v>13.171577123050255</v>
      </c>
      <c r="DY102" s="23">
        <f>DV102*100/DO102-100</f>
        <v>-14.678899082568805</v>
      </c>
      <c r="DZ102" s="23">
        <f t="shared" si="403"/>
        <v>-3.399093351242442</v>
      </c>
      <c r="EA102" s="8"/>
      <c r="EB102" s="20">
        <v>854</v>
      </c>
      <c r="EC102" s="10">
        <v>153.6</v>
      </c>
      <c r="ED102" s="11">
        <v>130807</v>
      </c>
      <c r="EE102" s="23">
        <f t="shared" si="404"/>
        <v>30.78101071975499</v>
      </c>
      <c r="EF102" s="23">
        <f>EC102*100/DV102-100</f>
        <v>-13.073005093378598</v>
      </c>
      <c r="EG102" s="23">
        <f t="shared" si="405"/>
        <v>13.675035412918987</v>
      </c>
      <c r="EH102" s="8"/>
      <c r="EI102" s="20">
        <v>798</v>
      </c>
      <c r="EJ102" s="10">
        <v>177.6</v>
      </c>
      <c r="EK102" s="11">
        <v>135053</v>
      </c>
      <c r="EL102" s="23">
        <f t="shared" si="343"/>
        <v>-6.557377049180332</v>
      </c>
      <c r="EM102" s="23">
        <f>EJ102*100/EC102-100</f>
        <v>15.625</v>
      </c>
      <c r="EN102" s="23">
        <f t="shared" si="344"/>
        <v>3.2460036542386916</v>
      </c>
      <c r="EO102" s="8"/>
      <c r="EP102" s="20">
        <v>752</v>
      </c>
      <c r="EQ102" s="10">
        <v>183.7</v>
      </c>
      <c r="ER102" s="11">
        <v>135152</v>
      </c>
      <c r="ES102" s="23">
        <f t="shared" si="345"/>
        <v>-5.764411027568926</v>
      </c>
      <c r="ET102" s="23">
        <f>EQ102*100/EJ102-100</f>
        <v>3.434684684684683</v>
      </c>
      <c r="EU102" s="23">
        <f t="shared" si="346"/>
        <v>0.07330455450822626</v>
      </c>
      <c r="EV102" s="8"/>
      <c r="EW102" s="20">
        <v>749</v>
      </c>
      <c r="EX102" s="10">
        <f t="shared" si="377"/>
        <v>183.81575433911883</v>
      </c>
      <c r="EY102" s="11">
        <v>137678</v>
      </c>
      <c r="EZ102" s="11">
        <v>135828</v>
      </c>
      <c r="FA102" s="23">
        <f>EW102*100/EP102-100</f>
        <v>-0.39893617021276384</v>
      </c>
      <c r="FB102" s="23">
        <f>EX102*100/EQ102-100</f>
        <v>0.06301270501842282</v>
      </c>
      <c r="FC102" s="23">
        <f>EZ102*100/ER102-100</f>
        <v>0.5001775778382864</v>
      </c>
      <c r="FD102" s="8"/>
      <c r="FE102" s="20">
        <v>867</v>
      </c>
      <c r="FF102" s="10">
        <f t="shared" si="378"/>
        <v>190.85121107266437</v>
      </c>
      <c r="FG102" s="11">
        <v>165468</v>
      </c>
      <c r="FH102" s="11">
        <v>162948</v>
      </c>
      <c r="FI102" s="23">
        <f t="shared" si="379"/>
        <v>15.7543391188251</v>
      </c>
      <c r="FJ102" s="23">
        <f t="shared" si="373"/>
        <v>3.827450350401378</v>
      </c>
      <c r="FK102" s="23">
        <f t="shared" si="373"/>
        <v>20.184778977033375</v>
      </c>
      <c r="FL102" s="23">
        <f t="shared" si="380"/>
        <v>19.96642812969344</v>
      </c>
      <c r="FM102" s="23"/>
      <c r="FN102" s="20">
        <v>836</v>
      </c>
      <c r="FO102" s="10">
        <f t="shared" si="220"/>
        <v>179.5346889952153</v>
      </c>
      <c r="FP102" s="11">
        <v>150091</v>
      </c>
      <c r="FQ102" s="11">
        <v>146969</v>
      </c>
      <c r="FR102" s="23">
        <f>FN102*100/FE102-100</f>
        <v>-3.575547866205312</v>
      </c>
      <c r="FS102" s="23">
        <f>FO102*100/FF102-100</f>
        <v>-5.929499746868487</v>
      </c>
      <c r="FT102" s="23">
        <f t="shared" si="368"/>
        <v>-9.293035511397974</v>
      </c>
      <c r="FU102" s="23">
        <f t="shared" si="368"/>
        <v>-9.806195841618191</v>
      </c>
      <c r="FV102" s="23"/>
      <c r="FW102" s="20">
        <v>782</v>
      </c>
      <c r="FX102" s="10">
        <f>FY102/FW102</f>
        <v>188.0306905370844</v>
      </c>
      <c r="FY102" s="20">
        <v>147040</v>
      </c>
      <c r="FZ102" s="20">
        <v>144318</v>
      </c>
      <c r="GA102" s="23">
        <f aca="true" t="shared" si="406" ref="GA102:GD103">FW102*100/FN102-100</f>
        <v>-6.459330143540669</v>
      </c>
      <c r="GB102" s="23">
        <f t="shared" si="406"/>
        <v>4.732233970726142</v>
      </c>
      <c r="GC102" s="23">
        <f t="shared" si="406"/>
        <v>-2.032766788148521</v>
      </c>
      <c r="GD102" s="23">
        <f t="shared" si="406"/>
        <v>-1.8037817498928348</v>
      </c>
      <c r="GE102" s="23"/>
      <c r="GF102" s="20">
        <v>889</v>
      </c>
      <c r="GG102" s="10">
        <f>GH102/GF102</f>
        <v>170.1214848143982</v>
      </c>
      <c r="GH102" s="20">
        <v>151238</v>
      </c>
      <c r="GI102" s="20">
        <v>148207</v>
      </c>
      <c r="GJ102" s="23">
        <f t="shared" si="300"/>
        <v>13.68286445012788</v>
      </c>
      <c r="GK102" s="23">
        <f t="shared" si="300"/>
        <v>-9.52461838624906</v>
      </c>
      <c r="GL102" s="23">
        <f t="shared" si="363"/>
        <v>2.8550054406964023</v>
      </c>
      <c r="GM102" s="23">
        <f t="shared" si="363"/>
        <v>2.6947435524328256</v>
      </c>
      <c r="GN102" s="23"/>
      <c r="GO102" s="20">
        <v>973</v>
      </c>
      <c r="GP102" s="10">
        <f>GQ102/GO102</f>
        <v>182.28057553956833</v>
      </c>
      <c r="GQ102" s="20">
        <v>177359</v>
      </c>
      <c r="GR102" s="20">
        <v>174082</v>
      </c>
      <c r="GS102" s="23">
        <f t="shared" si="301"/>
        <v>9.448818897637793</v>
      </c>
      <c r="GT102" s="23">
        <f t="shared" si="301"/>
        <v>7.147298730924945</v>
      </c>
      <c r="GU102" s="23">
        <f t="shared" si="364"/>
        <v>17.271452941720995</v>
      </c>
      <c r="GV102" s="23">
        <f t="shared" si="365"/>
        <v>17.458689535581996</v>
      </c>
      <c r="GW102" s="23"/>
      <c r="GX102" s="20">
        <v>1016</v>
      </c>
      <c r="GY102" s="10">
        <f>GZ102/GX102</f>
        <v>125.66338582677166</v>
      </c>
      <c r="GZ102" s="20">
        <v>127674</v>
      </c>
      <c r="HA102" s="20">
        <v>125274</v>
      </c>
      <c r="HB102" s="23">
        <f t="shared" si="302"/>
        <v>4.419321685508734</v>
      </c>
      <c r="HC102" s="23">
        <f>GY102*100/GP102-100</f>
        <v>-31.060462446535652</v>
      </c>
      <c r="HD102" s="23">
        <f t="shared" si="366"/>
        <v>-28.01380251354597</v>
      </c>
      <c r="HE102" s="23">
        <f t="shared" si="367"/>
        <v>-28.037361703105432</v>
      </c>
      <c r="HF102" s="23"/>
      <c r="HG102" s="20">
        <v>1109</v>
      </c>
      <c r="HH102" s="10">
        <f>HI102/HG102</f>
        <v>181.6185752930568</v>
      </c>
      <c r="HI102" s="20">
        <v>201415</v>
      </c>
      <c r="HJ102" s="20">
        <v>201135</v>
      </c>
      <c r="HK102" s="23">
        <f t="shared" si="304"/>
        <v>9.153543307086608</v>
      </c>
      <c r="HL102" s="23">
        <f>HH102*100/GY102-100</f>
        <v>44.5278384774862</v>
      </c>
      <c r="HM102" s="23">
        <f t="shared" si="375"/>
        <v>57.75725676331908</v>
      </c>
      <c r="HN102" s="23">
        <f t="shared" si="376"/>
        <v>60.556061114038016</v>
      </c>
      <c r="HO102" s="23"/>
      <c r="HP102" s="20">
        <v>985</v>
      </c>
      <c r="HQ102" s="10">
        <f>HR102/HP102</f>
        <v>154.7532994923858</v>
      </c>
      <c r="HR102" s="20">
        <v>152432</v>
      </c>
      <c r="HS102" s="20">
        <v>152152</v>
      </c>
      <c r="HT102" s="23">
        <f t="shared" si="306"/>
        <v>-11.181244364292155</v>
      </c>
      <c r="HU102" s="23">
        <f>HQ102*100/HH102-100</f>
        <v>-14.792141033658936</v>
      </c>
      <c r="HV102" s="23">
        <f t="shared" si="370"/>
        <v>-24.319439962266955</v>
      </c>
      <c r="HW102" s="23">
        <f t="shared" si="371"/>
        <v>-24.353295050587917</v>
      </c>
      <c r="HX102" s="23"/>
      <c r="HY102" s="20"/>
      <c r="HZ102" s="10" t="e">
        <f>IA102/HY102</f>
        <v>#DIV/0!</v>
      </c>
      <c r="IA102" s="20"/>
      <c r="IB102" s="20"/>
      <c r="IC102" s="23">
        <f t="shared" si="389"/>
        <v>-100</v>
      </c>
      <c r="ID102" s="23" t="e">
        <f>HZ102*100/HQ102-100</f>
        <v>#DIV/0!</v>
      </c>
      <c r="IE102" s="23">
        <f t="shared" si="383"/>
        <v>-100</v>
      </c>
      <c r="IF102" s="23">
        <f t="shared" si="384"/>
        <v>-100</v>
      </c>
      <c r="IG102" s="23"/>
      <c r="IH102" s="1" t="s">
        <v>98</v>
      </c>
      <c r="II102" s="29">
        <f t="shared" si="386"/>
        <v>877.1</v>
      </c>
      <c r="IJ102" s="30">
        <f t="shared" si="387"/>
        <v>176.32163664178782</v>
      </c>
      <c r="IK102" s="29">
        <f t="shared" si="388"/>
        <v>150896.6</v>
      </c>
      <c r="IL102" s="25">
        <f t="shared" si="360"/>
        <v>12.301904001824184</v>
      </c>
      <c r="IM102" s="25">
        <f t="shared" si="361"/>
        <v>-12.232382570960311</v>
      </c>
      <c r="IN102" s="25">
        <f t="shared" si="362"/>
        <v>0.8319604285318576</v>
      </c>
      <c r="IP102" s="30">
        <f>HP102*100/Italia!BR102</f>
        <v>15.825835475578407</v>
      </c>
      <c r="IQ102" s="30">
        <f>HR102*100/Italia!BT102</f>
        <v>17.3906297417737</v>
      </c>
      <c r="IR102" s="30">
        <f>HS102*100/Italia!BU102</f>
        <v>18.020847768180207</v>
      </c>
    </row>
    <row r="103" spans="1:252" ht="12">
      <c r="A103" s="1" t="s">
        <v>99</v>
      </c>
      <c r="B103" s="22">
        <v>23</v>
      </c>
      <c r="C103" s="10">
        <v>350</v>
      </c>
      <c r="D103" s="11">
        <v>8050</v>
      </c>
      <c r="E103" s="9"/>
      <c r="F103" s="22">
        <v>24</v>
      </c>
      <c r="G103" s="10">
        <v>350</v>
      </c>
      <c r="H103" s="11">
        <v>8400</v>
      </c>
      <c r="I103" s="23">
        <f t="shared" si="349"/>
        <v>4.347826086956516</v>
      </c>
      <c r="J103" s="23">
        <f>G103*100/C103-100</f>
        <v>0</v>
      </c>
      <c r="K103" s="23">
        <f t="shared" si="350"/>
        <v>4.347826086956516</v>
      </c>
      <c r="L103" s="8"/>
      <c r="M103" s="22">
        <v>18.5</v>
      </c>
      <c r="N103" s="10">
        <f>O103/M103</f>
        <v>400</v>
      </c>
      <c r="O103" s="11">
        <v>7400</v>
      </c>
      <c r="P103" s="23">
        <f t="shared" si="351"/>
        <v>-22.91666666666667</v>
      </c>
      <c r="Q103" s="23">
        <f>N103*100/G103-100</f>
        <v>14.285714285714292</v>
      </c>
      <c r="R103" s="23">
        <f t="shared" si="352"/>
        <v>-11.904761904761898</v>
      </c>
      <c r="S103" s="8"/>
      <c r="T103" s="22">
        <v>8</v>
      </c>
      <c r="U103" s="10">
        <f>V103/T103</f>
        <v>400</v>
      </c>
      <c r="V103" s="11">
        <v>3200</v>
      </c>
      <c r="W103" s="23">
        <f t="shared" si="391"/>
        <v>-56.75675675675676</v>
      </c>
      <c r="X103" s="23">
        <f>U103*100/N103-100</f>
        <v>0</v>
      </c>
      <c r="Y103" s="23">
        <f t="shared" si="392"/>
        <v>-56.75675675675676</v>
      </c>
      <c r="Z103" s="8"/>
      <c r="AA103" s="22">
        <v>0</v>
      </c>
      <c r="AB103" s="10">
        <v>0</v>
      </c>
      <c r="AC103" s="11">
        <v>0</v>
      </c>
      <c r="AD103" s="23">
        <f t="shared" si="313"/>
        <v>-100</v>
      </c>
      <c r="AE103" s="23">
        <f>AB103*100/U103-100</f>
        <v>-100</v>
      </c>
      <c r="AF103" s="23">
        <f t="shared" si="314"/>
        <v>-100</v>
      </c>
      <c r="AG103" s="8"/>
      <c r="AH103" s="22" t="s">
        <v>1</v>
      </c>
      <c r="AI103" s="10" t="s">
        <v>1</v>
      </c>
      <c r="AJ103" s="11" t="s">
        <v>1</v>
      </c>
      <c r="AK103" s="23" t="e">
        <f t="shared" si="315"/>
        <v>#DIV/0!</v>
      </c>
      <c r="AL103" s="23" t="e">
        <f>AI103*100/AB103-100</f>
        <v>#DIV/0!</v>
      </c>
      <c r="AM103" s="23" t="e">
        <f t="shared" si="316"/>
        <v>#DIV/0!</v>
      </c>
      <c r="AN103" s="8"/>
      <c r="AO103" s="22">
        <v>0</v>
      </c>
      <c r="AP103" s="10">
        <v>0</v>
      </c>
      <c r="AQ103" s="11">
        <v>0</v>
      </c>
      <c r="AR103" s="23" t="e">
        <f t="shared" si="317"/>
        <v>#DIV/0!</v>
      </c>
      <c r="AS103" s="23" t="e">
        <f>AP103*100/AI103-100</f>
        <v>#DIV/0!</v>
      </c>
      <c r="AT103" s="23" t="e">
        <f t="shared" si="318"/>
        <v>#DIV/0!</v>
      </c>
      <c r="AU103" s="8"/>
      <c r="AV103" s="22">
        <v>0</v>
      </c>
      <c r="AW103" s="10">
        <v>0</v>
      </c>
      <c r="AX103" s="11">
        <v>0</v>
      </c>
      <c r="AY103" s="23" t="e">
        <f t="shared" si="319"/>
        <v>#DIV/0!</v>
      </c>
      <c r="AZ103" s="23" t="e">
        <f>AW103*100/AP103-100</f>
        <v>#DIV/0!</v>
      </c>
      <c r="BA103" s="23" t="e">
        <f t="shared" si="320"/>
        <v>#DIV/0!</v>
      </c>
      <c r="BB103" s="8"/>
      <c r="BC103" s="22">
        <v>0</v>
      </c>
      <c r="BD103" s="10">
        <v>0</v>
      </c>
      <c r="BE103" s="11">
        <v>0</v>
      </c>
      <c r="BF103" s="23" t="e">
        <f t="shared" si="321"/>
        <v>#DIV/0!</v>
      </c>
      <c r="BG103" s="23" t="e">
        <f>BD103*100/AW103-100</f>
        <v>#DIV/0!</v>
      </c>
      <c r="BH103" s="23" t="e">
        <f t="shared" si="322"/>
        <v>#DIV/0!</v>
      </c>
      <c r="BI103" s="8"/>
      <c r="BJ103" s="22">
        <v>0</v>
      </c>
      <c r="BK103" s="10">
        <v>0</v>
      </c>
      <c r="BL103" s="11">
        <v>0</v>
      </c>
      <c r="BM103" s="23" t="e">
        <f t="shared" si="353"/>
        <v>#DIV/0!</v>
      </c>
      <c r="BN103" s="23" t="e">
        <f>BK103*100/BD103-100</f>
        <v>#DIV/0!</v>
      </c>
      <c r="BO103" s="23" t="e">
        <f t="shared" si="323"/>
        <v>#DIV/0!</v>
      </c>
      <c r="BP103" s="8"/>
      <c r="BQ103" s="22">
        <v>0</v>
      </c>
      <c r="BR103" s="10">
        <v>0</v>
      </c>
      <c r="BS103" s="11">
        <v>0</v>
      </c>
      <c r="BT103" s="23" t="e">
        <f t="shared" si="354"/>
        <v>#DIV/0!</v>
      </c>
      <c r="BU103" s="23" t="e">
        <f>BR103*100/BK103-100</f>
        <v>#DIV/0!</v>
      </c>
      <c r="BV103" s="23" t="e">
        <f t="shared" si="324"/>
        <v>#DIV/0!</v>
      </c>
      <c r="BW103" s="8"/>
      <c r="BX103" s="22">
        <v>5.4</v>
      </c>
      <c r="BY103" s="10">
        <f>1310/BX103</f>
        <v>242.59259259259258</v>
      </c>
      <c r="BZ103" s="11">
        <v>1295</v>
      </c>
      <c r="CA103" s="23" t="e">
        <f t="shared" si="325"/>
        <v>#DIV/0!</v>
      </c>
      <c r="CB103" s="23" t="e">
        <f>BY103*100/BR103-100</f>
        <v>#DIV/0!</v>
      </c>
      <c r="CC103" s="23" t="e">
        <f t="shared" si="326"/>
        <v>#DIV/0!</v>
      </c>
      <c r="CD103" s="8"/>
      <c r="CE103" s="22">
        <v>5.4</v>
      </c>
      <c r="CF103" s="10">
        <f>1310/CE103</f>
        <v>242.59259259259258</v>
      </c>
      <c r="CG103" s="11">
        <v>1295</v>
      </c>
      <c r="CH103" s="23">
        <f t="shared" si="327"/>
        <v>0</v>
      </c>
      <c r="CI103" s="23">
        <f>CF103*100/BY103-100</f>
        <v>0</v>
      </c>
      <c r="CJ103" s="23">
        <f t="shared" si="328"/>
        <v>0</v>
      </c>
      <c r="CK103" s="8"/>
      <c r="CL103" s="22">
        <v>3.4</v>
      </c>
      <c r="CM103" s="10">
        <f>810/CL103</f>
        <v>238.23529411764707</v>
      </c>
      <c r="CN103" s="11">
        <v>795</v>
      </c>
      <c r="CO103" s="23">
        <f t="shared" si="329"/>
        <v>-37.03703703703704</v>
      </c>
      <c r="CP103" s="23">
        <f>CM103*100/CF103-100</f>
        <v>-1.7961383026492967</v>
      </c>
      <c r="CQ103" s="23">
        <f t="shared" si="330"/>
        <v>-38.61003861003861</v>
      </c>
      <c r="CR103" s="8"/>
      <c r="CS103" s="22">
        <v>0.6</v>
      </c>
      <c r="CT103" s="10">
        <f>97/CS103</f>
        <v>161.66666666666669</v>
      </c>
      <c r="CU103" s="11">
        <v>77</v>
      </c>
      <c r="CV103" s="23">
        <f t="shared" si="394"/>
        <v>-82.35294117647058</v>
      </c>
      <c r="CW103" s="23">
        <f>CT103*100/CM103-100</f>
        <v>-32.139917695473244</v>
      </c>
      <c r="CX103" s="23">
        <f t="shared" si="395"/>
        <v>-90.31446540880503</v>
      </c>
      <c r="CY103" s="8"/>
      <c r="CZ103" s="22">
        <v>3.6</v>
      </c>
      <c r="DA103" s="10">
        <f>847/CZ103</f>
        <v>235.27777777777777</v>
      </c>
      <c r="DB103" s="11">
        <v>827</v>
      </c>
      <c r="DC103" s="23">
        <f t="shared" si="396"/>
        <v>500</v>
      </c>
      <c r="DD103" s="23">
        <f>DA103*100/CT103-100</f>
        <v>45.53264604810994</v>
      </c>
      <c r="DE103" s="23">
        <f t="shared" si="397"/>
        <v>974.0259740259739</v>
      </c>
      <c r="DF103" s="8"/>
      <c r="DG103" s="22">
        <v>3.5</v>
      </c>
      <c r="DH103" s="10">
        <f>825/DG103</f>
        <v>235.71428571428572</v>
      </c>
      <c r="DI103" s="11">
        <v>805</v>
      </c>
      <c r="DJ103" s="23">
        <f t="shared" si="398"/>
        <v>-2.7777777777777857</v>
      </c>
      <c r="DK103" s="23">
        <f>DH103*100/DA103-100</f>
        <v>0.18552875695733917</v>
      </c>
      <c r="DL103" s="23">
        <f t="shared" si="399"/>
        <v>-2.660217654171703</v>
      </c>
      <c r="DM103" s="8"/>
      <c r="DN103" s="22"/>
      <c r="DO103" s="10"/>
      <c r="DP103" s="11"/>
      <c r="DQ103" s="23">
        <f t="shared" si="400"/>
        <v>-100</v>
      </c>
      <c r="DR103" s="23">
        <f>DO103*100/DH103-100</f>
        <v>-100</v>
      </c>
      <c r="DS103" s="23">
        <f t="shared" si="401"/>
        <v>-100</v>
      </c>
      <c r="DT103" s="8"/>
      <c r="DU103" s="22"/>
      <c r="DV103" s="10"/>
      <c r="DW103" s="11"/>
      <c r="DX103" s="23" t="e">
        <f t="shared" si="402"/>
        <v>#DIV/0!</v>
      </c>
      <c r="DY103" s="23" t="e">
        <f>DV103*100/DO103-100</f>
        <v>#DIV/0!</v>
      </c>
      <c r="DZ103" s="23" t="e">
        <f t="shared" si="403"/>
        <v>#DIV/0!</v>
      </c>
      <c r="EA103" s="8"/>
      <c r="EB103" s="22"/>
      <c r="EC103" s="10"/>
      <c r="ED103" s="11"/>
      <c r="EE103" s="23" t="e">
        <f t="shared" si="404"/>
        <v>#DIV/0!</v>
      </c>
      <c r="EF103" s="23" t="e">
        <f>EC103*100/DV103-100</f>
        <v>#DIV/0!</v>
      </c>
      <c r="EG103" s="23" t="e">
        <f t="shared" si="405"/>
        <v>#DIV/0!</v>
      </c>
      <c r="EH103" s="8"/>
      <c r="EI103" s="22">
        <v>3</v>
      </c>
      <c r="EJ103" s="10">
        <f>EK103/EI103</f>
        <v>180</v>
      </c>
      <c r="EK103" s="11">
        <v>540</v>
      </c>
      <c r="EL103" s="23" t="e">
        <f t="shared" si="343"/>
        <v>#DIV/0!</v>
      </c>
      <c r="EM103" s="23" t="e">
        <f>EJ103*100/EC103-100</f>
        <v>#DIV/0!</v>
      </c>
      <c r="EN103" s="23" t="e">
        <f t="shared" si="344"/>
        <v>#DIV/0!</v>
      </c>
      <c r="EO103" s="8"/>
      <c r="EP103" s="22">
        <v>3</v>
      </c>
      <c r="EQ103" s="10">
        <f>ER103/EP103</f>
        <v>180</v>
      </c>
      <c r="ER103" s="11">
        <v>540</v>
      </c>
      <c r="ES103" s="23">
        <f t="shared" si="345"/>
        <v>0</v>
      </c>
      <c r="ET103" s="23">
        <f>EQ103*100/EJ103-100</f>
        <v>0</v>
      </c>
      <c r="EU103" s="23">
        <f t="shared" si="346"/>
        <v>0</v>
      </c>
      <c r="EV103" s="8"/>
      <c r="EW103" s="22">
        <v>3</v>
      </c>
      <c r="EX103" s="10">
        <f t="shared" si="377"/>
        <v>180</v>
      </c>
      <c r="EY103" s="11">
        <v>540</v>
      </c>
      <c r="EZ103" s="11">
        <v>540</v>
      </c>
      <c r="FA103" s="23">
        <f>EW103*100/EP103-100</f>
        <v>0</v>
      </c>
      <c r="FB103" s="23">
        <f>EX103*100/EQ103-100</f>
        <v>0</v>
      </c>
      <c r="FC103" s="23">
        <f>EZ103*100/ER103-100</f>
        <v>0</v>
      </c>
      <c r="FD103" s="8"/>
      <c r="FE103" s="33" t="s">
        <v>1</v>
      </c>
      <c r="FF103" s="33" t="s">
        <v>1</v>
      </c>
      <c r="FG103" s="34" t="s">
        <v>1</v>
      </c>
      <c r="FH103" s="34" t="s">
        <v>1</v>
      </c>
      <c r="FI103" s="34" t="s">
        <v>1</v>
      </c>
      <c r="FJ103" s="34" t="s">
        <v>1</v>
      </c>
      <c r="FK103" s="34" t="s">
        <v>1</v>
      </c>
      <c r="FL103" s="34" t="s">
        <v>1</v>
      </c>
      <c r="FM103" s="23"/>
      <c r="FN103" s="22">
        <v>0</v>
      </c>
      <c r="FO103" s="10" t="e">
        <f t="shared" si="220"/>
        <v>#DIV/0!</v>
      </c>
      <c r="FP103" s="11">
        <v>0</v>
      </c>
      <c r="FQ103" s="11">
        <v>0</v>
      </c>
      <c r="FR103" s="23" t="e">
        <f>FN103*100/FE103-100</f>
        <v>#DIV/0!</v>
      </c>
      <c r="FS103" s="23" t="e">
        <f>FO103*100/FF103-100</f>
        <v>#DIV/0!</v>
      </c>
      <c r="FT103" s="23" t="e">
        <f t="shared" si="368"/>
        <v>#DIV/0!</v>
      </c>
      <c r="FU103" s="23" t="e">
        <f t="shared" si="368"/>
        <v>#DIV/0!</v>
      </c>
      <c r="FV103" s="23"/>
      <c r="FW103" s="22"/>
      <c r="FX103" s="10" t="e">
        <f>FY103/FW103</f>
        <v>#DIV/0!</v>
      </c>
      <c r="FY103" s="22"/>
      <c r="FZ103" s="22"/>
      <c r="GA103" s="23" t="e">
        <f t="shared" si="406"/>
        <v>#DIV/0!</v>
      </c>
      <c r="GB103" s="23" t="e">
        <f t="shared" si="406"/>
        <v>#DIV/0!</v>
      </c>
      <c r="GC103" s="23" t="e">
        <f t="shared" si="406"/>
        <v>#DIV/0!</v>
      </c>
      <c r="GD103" s="23" t="e">
        <f t="shared" si="406"/>
        <v>#DIV/0!</v>
      </c>
      <c r="GE103" s="23"/>
      <c r="GF103" s="22">
        <v>11</v>
      </c>
      <c r="GG103" s="10">
        <f>GH103/GF103</f>
        <v>100</v>
      </c>
      <c r="GH103" s="20">
        <v>1100</v>
      </c>
      <c r="GI103" s="20">
        <v>1100</v>
      </c>
      <c r="GJ103" s="23" t="e">
        <f t="shared" si="300"/>
        <v>#DIV/0!</v>
      </c>
      <c r="GK103" s="23" t="e">
        <f t="shared" si="300"/>
        <v>#DIV/0!</v>
      </c>
      <c r="GL103" s="23" t="e">
        <f t="shared" si="363"/>
        <v>#DIV/0!</v>
      </c>
      <c r="GM103" s="23" t="e">
        <f t="shared" si="363"/>
        <v>#DIV/0!</v>
      </c>
      <c r="GN103" s="23"/>
      <c r="GO103" s="6" t="s">
        <v>1</v>
      </c>
      <c r="GP103" s="6" t="s">
        <v>1</v>
      </c>
      <c r="GQ103" s="6" t="s">
        <v>1</v>
      </c>
      <c r="GR103" s="6" t="s">
        <v>1</v>
      </c>
      <c r="GS103" s="6" t="s">
        <v>1</v>
      </c>
      <c r="GT103" s="6" t="s">
        <v>1</v>
      </c>
      <c r="GU103" s="6" t="s">
        <v>1</v>
      </c>
      <c r="GV103" s="6" t="s">
        <v>1</v>
      </c>
      <c r="GW103" s="23"/>
      <c r="GX103" s="6" t="s">
        <v>1</v>
      </c>
      <c r="GY103" s="6" t="s">
        <v>1</v>
      </c>
      <c r="GZ103" s="6" t="s">
        <v>1</v>
      </c>
      <c r="HA103" s="6" t="s">
        <v>1</v>
      </c>
      <c r="HB103" s="6" t="s">
        <v>1</v>
      </c>
      <c r="HC103" s="6" t="s">
        <v>1</v>
      </c>
      <c r="HD103" s="6" t="s">
        <v>1</v>
      </c>
      <c r="HE103" s="6" t="s">
        <v>1</v>
      </c>
      <c r="HF103" s="23"/>
      <c r="HG103" s="6" t="s">
        <v>1</v>
      </c>
      <c r="HH103" s="6" t="s">
        <v>1</v>
      </c>
      <c r="HI103" s="6" t="s">
        <v>1</v>
      </c>
      <c r="HJ103" s="6" t="s">
        <v>1</v>
      </c>
      <c r="HK103" s="6" t="s">
        <v>1</v>
      </c>
      <c r="HL103" s="6" t="s">
        <v>1</v>
      </c>
      <c r="HM103" s="6" t="s">
        <v>1</v>
      </c>
      <c r="HN103" s="6" t="s">
        <v>1</v>
      </c>
      <c r="HO103" s="23"/>
      <c r="HP103" s="6" t="s">
        <v>1</v>
      </c>
      <c r="HQ103" s="6" t="s">
        <v>1</v>
      </c>
      <c r="HR103" s="6" t="s">
        <v>1</v>
      </c>
      <c r="HS103" s="6" t="s">
        <v>1</v>
      </c>
      <c r="HT103" s="6" t="s">
        <v>1</v>
      </c>
      <c r="HU103" s="6" t="s">
        <v>1</v>
      </c>
      <c r="HV103" s="6" t="s">
        <v>1</v>
      </c>
      <c r="HW103" s="6" t="s">
        <v>1</v>
      </c>
      <c r="HX103" s="23"/>
      <c r="HY103" s="6" t="s">
        <v>1</v>
      </c>
      <c r="HZ103" s="6" t="s">
        <v>1</v>
      </c>
      <c r="IA103" s="6" t="s">
        <v>1</v>
      </c>
      <c r="IB103" s="6" t="s">
        <v>1</v>
      </c>
      <c r="IC103" s="6" t="s">
        <v>1</v>
      </c>
      <c r="ID103" s="6" t="s">
        <v>1</v>
      </c>
      <c r="IE103" s="6" t="s">
        <v>1</v>
      </c>
      <c r="IF103" s="6" t="s">
        <v>1</v>
      </c>
      <c r="IG103" s="23"/>
      <c r="IH103" s="1" t="s">
        <v>99</v>
      </c>
      <c r="II103" s="29">
        <f t="shared" si="386"/>
        <v>4</v>
      </c>
      <c r="IJ103" s="30" t="e">
        <f t="shared" si="387"/>
        <v>#DIV/0!</v>
      </c>
      <c r="IK103" s="29">
        <f t="shared" si="388"/>
        <v>544</v>
      </c>
      <c r="IL103" s="25">
        <f t="shared" si="360"/>
        <v>-100</v>
      </c>
      <c r="IM103" s="25" t="e">
        <f t="shared" si="361"/>
        <v>#DIV/0!</v>
      </c>
      <c r="IN103" s="25">
        <f t="shared" si="362"/>
        <v>-100</v>
      </c>
      <c r="IP103" s="30">
        <f>HP103*100/Italia!BR103</f>
        <v>0</v>
      </c>
      <c r="IQ103" s="30">
        <f>HR103*100/Italia!BT103</f>
        <v>0</v>
      </c>
      <c r="IR103" s="30">
        <f>HS103*100/Italia!BU103</f>
        <v>0</v>
      </c>
    </row>
    <row r="104" spans="1:252" ht="12">
      <c r="A104" s="1" t="s">
        <v>100</v>
      </c>
      <c r="B104" s="19">
        <f>B103+B102</f>
        <v>644</v>
      </c>
      <c r="C104" s="6" t="s">
        <v>1</v>
      </c>
      <c r="D104" s="9">
        <f>D103+D102</f>
        <v>107850</v>
      </c>
      <c r="E104" s="9"/>
      <c r="F104" s="19">
        <f>F102+F103</f>
        <v>688</v>
      </c>
      <c r="G104" s="6" t="s">
        <v>1</v>
      </c>
      <c r="H104" s="9">
        <f>H103+H102</f>
        <v>118300</v>
      </c>
      <c r="I104" s="23">
        <f t="shared" si="349"/>
        <v>6.83229813664596</v>
      </c>
      <c r="J104" s="24" t="s">
        <v>1</v>
      </c>
      <c r="K104" s="23">
        <f t="shared" si="350"/>
        <v>9.689383402874356</v>
      </c>
      <c r="L104" s="8"/>
      <c r="M104" s="19">
        <f>M102+M103</f>
        <v>642.5</v>
      </c>
      <c r="N104" s="6" t="s">
        <v>1</v>
      </c>
      <c r="O104" s="9">
        <f>O103+O102</f>
        <v>104400</v>
      </c>
      <c r="P104" s="23">
        <f t="shared" si="351"/>
        <v>-6.6133720930232585</v>
      </c>
      <c r="Q104" s="24" t="s">
        <v>1</v>
      </c>
      <c r="R104" s="23">
        <f t="shared" si="352"/>
        <v>-11.749788672865591</v>
      </c>
      <c r="S104" s="8"/>
      <c r="T104" s="19">
        <f>T102+T103</f>
        <v>610</v>
      </c>
      <c r="U104" s="6" t="s">
        <v>1</v>
      </c>
      <c r="V104" s="9">
        <f>V103+V102</f>
        <v>81000</v>
      </c>
      <c r="W104" s="23">
        <f t="shared" si="391"/>
        <v>-5.05836575875486</v>
      </c>
      <c r="X104" s="24" t="s">
        <v>1</v>
      </c>
      <c r="Y104" s="23">
        <f t="shared" si="392"/>
        <v>-22.41379310344827</v>
      </c>
      <c r="Z104" s="8"/>
      <c r="AA104" s="19">
        <f>AA102+AA103</f>
        <v>545</v>
      </c>
      <c r="AB104" s="6" t="s">
        <v>1</v>
      </c>
      <c r="AC104" s="9">
        <f>AC103+AC102</f>
        <v>79000</v>
      </c>
      <c r="AD104" s="23">
        <f t="shared" si="313"/>
        <v>-10.655737704918039</v>
      </c>
      <c r="AE104" s="24" t="s">
        <v>1</v>
      </c>
      <c r="AF104" s="23">
        <f t="shared" si="314"/>
        <v>-2.4691358024691397</v>
      </c>
      <c r="AG104" s="8"/>
      <c r="AH104" s="19">
        <f>AH102+AH103</f>
        <v>621</v>
      </c>
      <c r="AI104" s="6" t="s">
        <v>1</v>
      </c>
      <c r="AJ104" s="9">
        <f>AJ103+AJ102</f>
        <v>97400</v>
      </c>
      <c r="AK104" s="23">
        <f t="shared" si="315"/>
        <v>13.944954128440372</v>
      </c>
      <c r="AL104" s="24" t="s">
        <v>1</v>
      </c>
      <c r="AM104" s="23">
        <f t="shared" si="316"/>
        <v>23.291139240506325</v>
      </c>
      <c r="AN104" s="8"/>
      <c r="AO104" s="19">
        <f>AO102+AO103</f>
        <v>626</v>
      </c>
      <c r="AP104" s="6" t="s">
        <v>1</v>
      </c>
      <c r="AQ104" s="9">
        <f>AQ103+AQ102</f>
        <v>90700</v>
      </c>
      <c r="AR104" s="23">
        <f t="shared" si="317"/>
        <v>0.8051529790660226</v>
      </c>
      <c r="AS104" s="24" t="s">
        <v>1</v>
      </c>
      <c r="AT104" s="23">
        <f t="shared" si="318"/>
        <v>-6.8788501026694036</v>
      </c>
      <c r="AU104" s="8"/>
      <c r="AV104" s="19">
        <f>AV102+AV103</f>
        <v>616</v>
      </c>
      <c r="AW104" s="6" t="s">
        <v>1</v>
      </c>
      <c r="AX104" s="9">
        <f>AX103+AX102</f>
        <v>90749</v>
      </c>
      <c r="AY104" s="23">
        <f t="shared" si="319"/>
        <v>-1.5974440894568716</v>
      </c>
      <c r="AZ104" s="24" t="s">
        <v>1</v>
      </c>
      <c r="BA104" s="23">
        <f t="shared" si="320"/>
        <v>0.054024255788306164</v>
      </c>
      <c r="BB104" s="8"/>
      <c r="BC104" s="19">
        <f>BC102+BC103</f>
        <v>647</v>
      </c>
      <c r="BD104" s="6" t="s">
        <v>1</v>
      </c>
      <c r="BE104" s="9">
        <f>BE103+BE102</f>
        <v>97866</v>
      </c>
      <c r="BF104" s="23">
        <f t="shared" si="321"/>
        <v>5.032467532467535</v>
      </c>
      <c r="BG104" s="24" t="s">
        <v>1</v>
      </c>
      <c r="BH104" s="23">
        <f t="shared" si="322"/>
        <v>7.842510661274503</v>
      </c>
      <c r="BI104" s="8"/>
      <c r="BJ104" s="19">
        <f>BJ102+BJ103</f>
        <v>594</v>
      </c>
      <c r="BK104" s="6" t="s">
        <v>1</v>
      </c>
      <c r="BL104" s="9">
        <f>BL103+BL102</f>
        <v>82986</v>
      </c>
      <c r="BM104" s="23">
        <f t="shared" si="353"/>
        <v>-8.191653786707889</v>
      </c>
      <c r="BN104" s="24" t="s">
        <v>1</v>
      </c>
      <c r="BO104" s="23">
        <f t="shared" si="323"/>
        <v>-15.204463245662438</v>
      </c>
      <c r="BP104" s="8"/>
      <c r="BQ104" s="19">
        <f>BQ102+BQ103</f>
        <v>604</v>
      </c>
      <c r="BR104" s="6" t="s">
        <v>1</v>
      </c>
      <c r="BS104" s="9">
        <f>BS103+BS102</f>
        <v>94982</v>
      </c>
      <c r="BT104" s="23">
        <f t="shared" si="354"/>
        <v>1.6835016835016887</v>
      </c>
      <c r="BU104" s="24" t="s">
        <v>1</v>
      </c>
      <c r="BV104" s="23">
        <f t="shared" si="324"/>
        <v>14.455450316920931</v>
      </c>
      <c r="BW104" s="8"/>
      <c r="BX104" s="19">
        <f>BX102+BX103</f>
        <v>602.4</v>
      </c>
      <c r="BY104" s="6" t="s">
        <v>1</v>
      </c>
      <c r="BZ104" s="9">
        <f>BZ103+BZ102</f>
        <v>87146</v>
      </c>
      <c r="CA104" s="23">
        <f t="shared" si="325"/>
        <v>-0.2649006622516623</v>
      </c>
      <c r="CB104" s="24" t="s">
        <v>1</v>
      </c>
      <c r="CC104" s="23">
        <f t="shared" si="326"/>
        <v>-8.249984207534055</v>
      </c>
      <c r="CD104" s="8"/>
      <c r="CE104" s="19">
        <f>CE102+CE103</f>
        <v>597.4</v>
      </c>
      <c r="CF104" s="6" t="s">
        <v>1</v>
      </c>
      <c r="CG104" s="9">
        <f>CG103+CG102</f>
        <v>82925</v>
      </c>
      <c r="CH104" s="23">
        <f t="shared" si="327"/>
        <v>-0.8300132802124836</v>
      </c>
      <c r="CI104" s="24" t="s">
        <v>1</v>
      </c>
      <c r="CJ104" s="23">
        <f t="shared" si="328"/>
        <v>-4.843595804741469</v>
      </c>
      <c r="CK104" s="8"/>
      <c r="CL104" s="19">
        <f>CL102+CL103</f>
        <v>697.4</v>
      </c>
      <c r="CM104" s="6" t="s">
        <v>1</v>
      </c>
      <c r="CN104" s="9">
        <f>CN103+CN102</f>
        <v>103259</v>
      </c>
      <c r="CO104" s="23">
        <f t="shared" si="329"/>
        <v>16.739203213927027</v>
      </c>
      <c r="CP104" s="24" t="s">
        <v>1</v>
      </c>
      <c r="CQ104" s="23">
        <f t="shared" si="330"/>
        <v>24.520952668073562</v>
      </c>
      <c r="CR104" s="8"/>
      <c r="CS104" s="19">
        <f>CS102+CS103</f>
        <v>519.6</v>
      </c>
      <c r="CT104" s="6" t="s">
        <v>1</v>
      </c>
      <c r="CU104" s="9">
        <f>CU103+CU102</f>
        <v>90966</v>
      </c>
      <c r="CV104" s="23">
        <f t="shared" si="394"/>
        <v>-25.49469457986808</v>
      </c>
      <c r="CW104" s="24" t="s">
        <v>1</v>
      </c>
      <c r="CX104" s="23">
        <f t="shared" si="395"/>
        <v>-11.905015543439319</v>
      </c>
      <c r="CY104" s="8"/>
      <c r="CZ104" s="19">
        <f>CZ102+CZ103</f>
        <v>499.6</v>
      </c>
      <c r="DA104" s="6" t="s">
        <v>1</v>
      </c>
      <c r="DB104" s="9">
        <f>DB103+DB102</f>
        <v>92089</v>
      </c>
      <c r="DC104" s="23">
        <f t="shared" si="396"/>
        <v>-3.84911470361817</v>
      </c>
      <c r="DD104" s="24" t="s">
        <v>1</v>
      </c>
      <c r="DE104" s="23">
        <f t="shared" si="397"/>
        <v>1.2345271859815767</v>
      </c>
      <c r="DF104" s="8"/>
      <c r="DG104" s="19">
        <f>DG102+DG103</f>
        <v>633.5</v>
      </c>
      <c r="DH104" s="6" t="s">
        <v>1</v>
      </c>
      <c r="DI104" s="9">
        <f>DI103+DI102</f>
        <v>115748</v>
      </c>
      <c r="DJ104" s="23">
        <f t="shared" si="398"/>
        <v>26.801441152922337</v>
      </c>
      <c r="DK104" s="24" t="s">
        <v>1</v>
      </c>
      <c r="DL104" s="23">
        <f t="shared" si="399"/>
        <v>25.69145066185972</v>
      </c>
      <c r="DM104" s="8"/>
      <c r="DN104" s="19">
        <f>DN102+DN103</f>
        <v>577</v>
      </c>
      <c r="DO104" s="6" t="s">
        <v>1</v>
      </c>
      <c r="DP104" s="9">
        <f>DP103+DP102</f>
        <v>119120</v>
      </c>
      <c r="DQ104" s="23">
        <f t="shared" si="400"/>
        <v>-8.918705603788482</v>
      </c>
      <c r="DR104" s="24" t="s">
        <v>1</v>
      </c>
      <c r="DS104" s="23">
        <f t="shared" si="401"/>
        <v>2.9132252825102825</v>
      </c>
      <c r="DT104" s="8"/>
      <c r="DU104" s="19">
        <f>DU102+DU103</f>
        <v>653</v>
      </c>
      <c r="DV104" s="6" t="s">
        <v>1</v>
      </c>
      <c r="DW104" s="9">
        <f>DW103+DW102</f>
        <v>115071</v>
      </c>
      <c r="DX104" s="23">
        <f t="shared" si="402"/>
        <v>13.171577123050255</v>
      </c>
      <c r="DY104" s="24" t="s">
        <v>1</v>
      </c>
      <c r="DZ104" s="23">
        <f t="shared" si="403"/>
        <v>-3.399093351242442</v>
      </c>
      <c r="EA104" s="8"/>
      <c r="EB104" s="19">
        <f>EB102+EB103</f>
        <v>854</v>
      </c>
      <c r="EC104" s="6" t="s">
        <v>1</v>
      </c>
      <c r="ED104" s="9">
        <f>ED103+ED102</f>
        <v>130807</v>
      </c>
      <c r="EE104" s="23">
        <f t="shared" si="404"/>
        <v>30.78101071975499</v>
      </c>
      <c r="EF104" s="24" t="s">
        <v>1</v>
      </c>
      <c r="EG104" s="23">
        <f t="shared" si="405"/>
        <v>13.675035412918987</v>
      </c>
      <c r="EH104" s="8"/>
      <c r="EI104" s="19">
        <f>EI102+EI103</f>
        <v>801</v>
      </c>
      <c r="EJ104" s="6" t="s">
        <v>1</v>
      </c>
      <c r="EK104" s="9">
        <f>EK103+EK102</f>
        <v>135593</v>
      </c>
      <c r="EL104" s="23">
        <f t="shared" si="343"/>
        <v>-6.206088992974244</v>
      </c>
      <c r="EM104" s="24" t="s">
        <v>1</v>
      </c>
      <c r="EN104" s="23">
        <f t="shared" si="344"/>
        <v>3.6588255980184528</v>
      </c>
      <c r="EO104" s="8"/>
      <c r="EP104" s="19">
        <f>EP102+EP103</f>
        <v>755</v>
      </c>
      <c r="EQ104" s="6" t="s">
        <v>1</v>
      </c>
      <c r="ER104" s="9">
        <f>ER103+ER102</f>
        <v>135692</v>
      </c>
      <c r="ES104" s="23">
        <f t="shared" si="345"/>
        <v>-5.742821473158557</v>
      </c>
      <c r="ET104" s="24" t="s">
        <v>1</v>
      </c>
      <c r="EU104" s="23">
        <f t="shared" si="346"/>
        <v>0.07301261864550668</v>
      </c>
      <c r="EV104" s="8"/>
      <c r="EW104" s="19">
        <f>EW102+EW103</f>
        <v>752</v>
      </c>
      <c r="EX104" s="10">
        <f t="shared" si="377"/>
        <v>183.8005319148936</v>
      </c>
      <c r="EY104" s="9">
        <f>EY103+EY102</f>
        <v>138218</v>
      </c>
      <c r="EZ104" s="9">
        <f>EZ103+EZ102</f>
        <v>136368</v>
      </c>
      <c r="FA104" s="23">
        <f>EW104*100/EP104-100</f>
        <v>-0.39735099337748636</v>
      </c>
      <c r="FB104" s="24" t="s">
        <v>1</v>
      </c>
      <c r="FC104" s="23">
        <f>EZ104*100/ER104-100</f>
        <v>0.49818707071898416</v>
      </c>
      <c r="FD104" s="8"/>
      <c r="FE104" s="19">
        <f>FE102+FE103</f>
        <v>867</v>
      </c>
      <c r="FF104" s="10">
        <f t="shared" si="378"/>
        <v>190.85121107266437</v>
      </c>
      <c r="FG104" s="9">
        <f>FG103+FG102</f>
        <v>165468</v>
      </c>
      <c r="FH104" s="9">
        <f>FH103+FH102</f>
        <v>162948</v>
      </c>
      <c r="FI104" s="23">
        <f>FE104*100/EW104-100</f>
        <v>15.292553191489361</v>
      </c>
      <c r="FJ104" s="23">
        <f t="shared" si="373"/>
        <v>3.8360493760896617</v>
      </c>
      <c r="FK104" s="23">
        <f t="shared" si="373"/>
        <v>19.715232458869323</v>
      </c>
      <c r="FL104" s="23">
        <f>FH104*100/EZ104-100</f>
        <v>19.49137627595917</v>
      </c>
      <c r="FM104" s="23"/>
      <c r="FN104" s="19">
        <f>FN102+FN103</f>
        <v>836</v>
      </c>
      <c r="FO104" s="6" t="s">
        <v>1</v>
      </c>
      <c r="FP104" s="19">
        <f>FP102+FP103</f>
        <v>150091</v>
      </c>
      <c r="FQ104" s="9">
        <f>FQ103+FQ102</f>
        <v>146969</v>
      </c>
      <c r="FR104" s="24" t="s">
        <v>1</v>
      </c>
      <c r="FS104" s="24" t="s">
        <v>1</v>
      </c>
      <c r="FT104" s="23">
        <f t="shared" si="368"/>
        <v>-9.293035511397974</v>
      </c>
      <c r="FU104" s="23">
        <f t="shared" si="368"/>
        <v>-9.806195841618191</v>
      </c>
      <c r="FV104" s="23"/>
      <c r="FW104" s="19">
        <f>FW102+FW103</f>
        <v>782</v>
      </c>
      <c r="FX104" s="6" t="s">
        <v>1</v>
      </c>
      <c r="FY104" s="19">
        <f>FY102+FY103</f>
        <v>147040</v>
      </c>
      <c r="FZ104" s="19">
        <f>FZ102+FZ103</f>
        <v>144318</v>
      </c>
      <c r="GA104" s="24" t="s">
        <v>1</v>
      </c>
      <c r="GB104" s="24" t="s">
        <v>1</v>
      </c>
      <c r="GC104" s="24" t="s">
        <v>1</v>
      </c>
      <c r="GD104" s="24" t="s">
        <v>1</v>
      </c>
      <c r="GE104" s="23"/>
      <c r="GF104" s="19">
        <f>GF102+GF103</f>
        <v>900</v>
      </c>
      <c r="GG104" s="6" t="s">
        <v>1</v>
      </c>
      <c r="GH104" s="19">
        <f>GH102+GH103</f>
        <v>152338</v>
      </c>
      <c r="GI104" s="19">
        <f>GI102+GI103</f>
        <v>149307</v>
      </c>
      <c r="GJ104" s="23">
        <f t="shared" si="300"/>
        <v>15.089514066496164</v>
      </c>
      <c r="GK104" s="24" t="s">
        <v>1</v>
      </c>
      <c r="GL104" s="23">
        <f t="shared" si="363"/>
        <v>3.6031011969532045</v>
      </c>
      <c r="GM104" s="23">
        <f t="shared" si="363"/>
        <v>3.456949237101398</v>
      </c>
      <c r="GN104" s="23"/>
      <c r="GO104" s="19">
        <f>GO102+GO103</f>
        <v>973</v>
      </c>
      <c r="GP104" s="6" t="s">
        <v>1</v>
      </c>
      <c r="GQ104" s="19">
        <f>GQ102+GQ103</f>
        <v>177359</v>
      </c>
      <c r="GR104" s="19">
        <f>GR102+GR103</f>
        <v>174082</v>
      </c>
      <c r="GS104" s="23">
        <f t="shared" si="301"/>
        <v>8.111111111111114</v>
      </c>
      <c r="GT104" s="24" t="s">
        <v>1</v>
      </c>
      <c r="GU104" s="23">
        <f t="shared" si="364"/>
        <v>16.424660951305654</v>
      </c>
      <c r="GV104" s="23">
        <f t="shared" si="365"/>
        <v>16.593327841293444</v>
      </c>
      <c r="GW104" s="23"/>
      <c r="GX104" s="19">
        <f>GX102+GX103</f>
        <v>1016</v>
      </c>
      <c r="GY104" s="6" t="s">
        <v>1</v>
      </c>
      <c r="GZ104" s="19">
        <f>GZ102+GZ103</f>
        <v>127674</v>
      </c>
      <c r="HA104" s="19">
        <f>HA102+HA103</f>
        <v>125274</v>
      </c>
      <c r="HB104" s="23">
        <f t="shared" si="302"/>
        <v>4.419321685508734</v>
      </c>
      <c r="HC104" s="24" t="s">
        <v>1</v>
      </c>
      <c r="HD104" s="23">
        <f t="shared" si="366"/>
        <v>-28.01380251354597</v>
      </c>
      <c r="HE104" s="23">
        <f t="shared" si="367"/>
        <v>-28.037361703105432</v>
      </c>
      <c r="HF104" s="23"/>
      <c r="HG104" s="19">
        <f>HG102+HG103</f>
        <v>1109</v>
      </c>
      <c r="HH104" s="6" t="s">
        <v>1</v>
      </c>
      <c r="HI104" s="19">
        <f>HI102+HI103</f>
        <v>201415</v>
      </c>
      <c r="HJ104" s="19">
        <f>HJ102+HJ103</f>
        <v>201135</v>
      </c>
      <c r="HK104" s="23">
        <f t="shared" si="304"/>
        <v>9.153543307086608</v>
      </c>
      <c r="HL104" s="24" t="s">
        <v>1</v>
      </c>
      <c r="HM104" s="23">
        <f t="shared" si="375"/>
        <v>57.75725676331908</v>
      </c>
      <c r="HN104" s="23">
        <f t="shared" si="376"/>
        <v>60.556061114038016</v>
      </c>
      <c r="HO104" s="23"/>
      <c r="HP104" s="19">
        <f>HP102+HP103</f>
        <v>985</v>
      </c>
      <c r="HQ104" s="6" t="s">
        <v>1</v>
      </c>
      <c r="HR104" s="19">
        <f>HR102+HR103</f>
        <v>152432</v>
      </c>
      <c r="HS104" s="19">
        <f>HS102+HS103</f>
        <v>152152</v>
      </c>
      <c r="HT104" s="23">
        <f t="shared" si="306"/>
        <v>-11.181244364292155</v>
      </c>
      <c r="HU104" s="24" t="s">
        <v>1</v>
      </c>
      <c r="HV104" s="23">
        <f t="shared" si="370"/>
        <v>-24.319439962266955</v>
      </c>
      <c r="HW104" s="23">
        <f t="shared" si="371"/>
        <v>-24.353295050587917</v>
      </c>
      <c r="HX104" s="23"/>
      <c r="HY104" s="19">
        <f>HY102+HY103</f>
        <v>0</v>
      </c>
      <c r="HZ104" s="6" t="s">
        <v>1</v>
      </c>
      <c r="IA104" s="19">
        <f>IA102+IA103</f>
        <v>0</v>
      </c>
      <c r="IB104" s="19">
        <f>IB102+IB103</f>
        <v>0</v>
      </c>
      <c r="IC104" s="23">
        <f aca="true" t="shared" si="407" ref="IC104:IC113">HY104*100/HP104-100</f>
        <v>-100</v>
      </c>
      <c r="ID104" s="24" t="s">
        <v>1</v>
      </c>
      <c r="IE104" s="23">
        <f aca="true" t="shared" si="408" ref="IE104:IE113">IA104*100/HR104-100</f>
        <v>-100</v>
      </c>
      <c r="IF104" s="23">
        <f aca="true" t="shared" si="409" ref="IF104:IF113">IB104*100/HS104-100</f>
        <v>-100</v>
      </c>
      <c r="IG104" s="23"/>
      <c r="IH104" s="1" t="s">
        <v>100</v>
      </c>
      <c r="II104" s="29">
        <f t="shared" si="386"/>
        <v>879.1</v>
      </c>
      <c r="IJ104" s="30">
        <f t="shared" si="387"/>
        <v>187.325871493779</v>
      </c>
      <c r="IK104" s="29">
        <f t="shared" si="388"/>
        <v>151168.6</v>
      </c>
      <c r="IL104" s="25">
        <f t="shared" si="360"/>
        <v>12.046411102263676</v>
      </c>
      <c r="IM104" s="25">
        <f t="shared" si="361"/>
        <v>-100</v>
      </c>
      <c r="IN104" s="25">
        <f t="shared" si="362"/>
        <v>0.6505319226347268</v>
      </c>
      <c r="IP104" s="30">
        <f>HP104*100/Italia!BR104</f>
        <v>15.246474349548254</v>
      </c>
      <c r="IQ104" s="30">
        <f>HR104*100/Italia!BT104</f>
        <v>15.929906405320558</v>
      </c>
      <c r="IR104" s="30">
        <f>HS104*100/Italia!BU104</f>
        <v>16.469411568594765</v>
      </c>
    </row>
    <row r="105" spans="1:252" ht="12">
      <c r="A105" s="1" t="s">
        <v>101</v>
      </c>
      <c r="B105" s="22"/>
      <c r="C105" s="10"/>
      <c r="D105" s="11"/>
      <c r="F105" s="22"/>
      <c r="G105" s="10"/>
      <c r="H105" s="11"/>
      <c r="I105" s="25"/>
      <c r="J105" s="25"/>
      <c r="K105" s="25"/>
      <c r="M105" s="22"/>
      <c r="N105" s="10"/>
      <c r="O105" s="11"/>
      <c r="P105" s="25"/>
      <c r="Q105" s="25"/>
      <c r="R105" s="25"/>
      <c r="T105" s="22"/>
      <c r="U105" s="10"/>
      <c r="V105" s="11"/>
      <c r="W105" s="25"/>
      <c r="X105" s="25"/>
      <c r="Y105" s="25"/>
      <c r="AA105" s="22"/>
      <c r="AB105" s="10"/>
      <c r="AC105" s="11"/>
      <c r="AD105" s="25"/>
      <c r="AE105" s="25"/>
      <c r="AF105" s="25"/>
      <c r="AH105" s="22"/>
      <c r="AI105" s="10"/>
      <c r="AJ105" s="11"/>
      <c r="AK105" s="25"/>
      <c r="AL105" s="25"/>
      <c r="AM105" s="25"/>
      <c r="AO105" s="22"/>
      <c r="AP105" s="10"/>
      <c r="AQ105" s="11"/>
      <c r="AR105" s="25"/>
      <c r="AS105" s="25"/>
      <c r="AT105" s="25"/>
      <c r="AV105" s="22"/>
      <c r="AW105" s="10"/>
      <c r="AX105" s="11"/>
      <c r="AY105" s="25"/>
      <c r="AZ105" s="25"/>
      <c r="BA105" s="25"/>
      <c r="BC105" s="22"/>
      <c r="BD105" s="10"/>
      <c r="BE105" s="11"/>
      <c r="BF105" s="25"/>
      <c r="BG105" s="25"/>
      <c r="BH105" s="25"/>
      <c r="BJ105" s="22"/>
      <c r="BK105" s="10"/>
      <c r="BL105" s="11"/>
      <c r="BM105" s="25"/>
      <c r="BN105" s="25"/>
      <c r="BO105" s="25"/>
      <c r="BQ105" s="22"/>
      <c r="BR105" s="10"/>
      <c r="BS105" s="11"/>
      <c r="BT105" s="25"/>
      <c r="BU105" s="25"/>
      <c r="BV105" s="25"/>
      <c r="BX105" s="22"/>
      <c r="BY105" s="10"/>
      <c r="BZ105" s="11"/>
      <c r="CA105" s="25"/>
      <c r="CB105" s="25"/>
      <c r="CC105" s="25"/>
      <c r="CE105" s="22"/>
      <c r="CF105" s="10"/>
      <c r="CG105" s="11"/>
      <c r="CH105" s="25"/>
      <c r="CI105" s="25"/>
      <c r="CJ105" s="25"/>
      <c r="CL105" s="22"/>
      <c r="CM105" s="10"/>
      <c r="CN105" s="11"/>
      <c r="CO105" s="25"/>
      <c r="CP105" s="25"/>
      <c r="CQ105" s="25"/>
      <c r="CS105" s="22">
        <v>6</v>
      </c>
      <c r="CT105" s="10">
        <f>CU105/CS105</f>
        <v>200</v>
      </c>
      <c r="CU105" s="11">
        <v>1200</v>
      </c>
      <c r="CV105" s="25" t="e">
        <f t="shared" si="394"/>
        <v>#DIV/0!</v>
      </c>
      <c r="CW105" s="25" t="e">
        <f>CT105*100/CM105-100</f>
        <v>#DIV/0!</v>
      </c>
      <c r="CX105" s="25" t="e">
        <f t="shared" si="395"/>
        <v>#DIV/0!</v>
      </c>
      <c r="CY105" s="8"/>
      <c r="CZ105" s="22">
        <v>10</v>
      </c>
      <c r="DA105" s="10">
        <f>DB105/CZ105</f>
        <v>151</v>
      </c>
      <c r="DB105" s="11">
        <v>1510</v>
      </c>
      <c r="DC105" s="25">
        <f t="shared" si="396"/>
        <v>66.66666666666666</v>
      </c>
      <c r="DD105" s="25">
        <f>DA105*100/CT105-100</f>
        <v>-24.5</v>
      </c>
      <c r="DE105" s="25">
        <f t="shared" si="397"/>
        <v>25.83333333333333</v>
      </c>
      <c r="DF105" s="8"/>
      <c r="DG105" s="22">
        <v>11</v>
      </c>
      <c r="DH105" s="10">
        <f>DI105/DG105</f>
        <v>186.36363636363637</v>
      </c>
      <c r="DI105" s="11">
        <v>2050</v>
      </c>
      <c r="DJ105" s="25">
        <f t="shared" si="398"/>
        <v>10</v>
      </c>
      <c r="DK105" s="25">
        <f>DH105*100/DA105-100</f>
        <v>23.419626730885014</v>
      </c>
      <c r="DL105" s="25">
        <f t="shared" si="399"/>
        <v>35.76158940397352</v>
      </c>
      <c r="DM105" s="8"/>
      <c r="DN105" s="22">
        <v>13</v>
      </c>
      <c r="DO105" s="10">
        <f>DP105/DN105</f>
        <v>173.07692307692307</v>
      </c>
      <c r="DP105" s="11">
        <v>2250</v>
      </c>
      <c r="DQ105" s="25">
        <f t="shared" si="400"/>
        <v>18.181818181818187</v>
      </c>
      <c r="DR105" s="25">
        <f>DO105*100/DH105-100</f>
        <v>-7.129455909943729</v>
      </c>
      <c r="DS105" s="25">
        <f t="shared" si="401"/>
        <v>9.756097560975604</v>
      </c>
      <c r="DT105" s="8"/>
      <c r="DU105" s="22">
        <v>15</v>
      </c>
      <c r="DV105" s="10">
        <f>DW105/DU105</f>
        <v>234.66666666666666</v>
      </c>
      <c r="DW105" s="11">
        <v>3520</v>
      </c>
      <c r="DX105" s="25">
        <f t="shared" si="402"/>
        <v>15.384615384615387</v>
      </c>
      <c r="DY105" s="25">
        <f>DV105*100/DO105-100</f>
        <v>35.58518518518517</v>
      </c>
      <c r="DZ105" s="25">
        <f t="shared" si="403"/>
        <v>56.44444444444446</v>
      </c>
      <c r="EA105" s="8"/>
      <c r="EB105" s="22">
        <v>16</v>
      </c>
      <c r="EC105" s="10">
        <f>ED105/EB105</f>
        <v>232.5</v>
      </c>
      <c r="ED105" s="11">
        <v>3720</v>
      </c>
      <c r="EE105" s="25">
        <f t="shared" si="404"/>
        <v>6.666666666666671</v>
      </c>
      <c r="EF105" s="25">
        <f>EC105*100/DV105-100</f>
        <v>-0.9232954545454533</v>
      </c>
      <c r="EG105" s="25">
        <f t="shared" si="405"/>
        <v>5.681818181818187</v>
      </c>
      <c r="EH105" s="8"/>
      <c r="EI105" s="22">
        <v>15.5</v>
      </c>
      <c r="EJ105" s="10">
        <f>EK105/EI105</f>
        <v>212.90322580645162</v>
      </c>
      <c r="EK105" s="11">
        <v>3300</v>
      </c>
      <c r="EL105" s="25"/>
      <c r="EM105" s="25"/>
      <c r="EN105" s="25"/>
      <c r="EP105" s="22">
        <v>15.3</v>
      </c>
      <c r="EQ105" s="10">
        <f>ER105/EP105</f>
        <v>194.77124183006535</v>
      </c>
      <c r="ER105" s="11">
        <v>2980</v>
      </c>
      <c r="ES105" s="25">
        <f>EP105*100/EI105-100</f>
        <v>-1.2903225806451672</v>
      </c>
      <c r="ET105" s="25" t="s">
        <v>1</v>
      </c>
      <c r="EU105" s="25">
        <f>ER105*100/EK105-100</f>
        <v>-9.696969696969703</v>
      </c>
      <c r="EV105" s="8"/>
      <c r="EW105" s="22">
        <v>15.3</v>
      </c>
      <c r="EX105" s="10">
        <f t="shared" si="377"/>
        <v>194.77124183006535</v>
      </c>
      <c r="EY105" s="11">
        <v>2980</v>
      </c>
      <c r="EZ105" s="11">
        <v>2980</v>
      </c>
      <c r="FA105" s="25"/>
      <c r="FB105" s="25"/>
      <c r="FC105" s="25"/>
      <c r="FE105" s="22">
        <v>15.8</v>
      </c>
      <c r="FF105" s="10">
        <f t="shared" si="378"/>
        <v>194.9367088607595</v>
      </c>
      <c r="FG105" s="11">
        <v>3080</v>
      </c>
      <c r="FH105" s="11">
        <v>3080</v>
      </c>
      <c r="FI105" s="25"/>
      <c r="FJ105" s="25"/>
      <c r="FK105" s="25"/>
      <c r="FL105" s="25"/>
      <c r="FM105" s="25"/>
      <c r="FN105" s="22">
        <v>16</v>
      </c>
      <c r="FO105" s="10">
        <f t="shared" si="220"/>
        <v>196.875</v>
      </c>
      <c r="FP105" s="11">
        <v>3150</v>
      </c>
      <c r="FQ105" s="11">
        <v>3150</v>
      </c>
      <c r="FR105" s="23">
        <f aca="true" t="shared" si="410" ref="FR105:FS108">FN105*100/FE105-100</f>
        <v>1.2658227848101262</v>
      </c>
      <c r="FS105" s="23">
        <f t="shared" si="410"/>
        <v>0.994318181818187</v>
      </c>
      <c r="FT105" s="23">
        <f t="shared" si="368"/>
        <v>2.2727272727272663</v>
      </c>
      <c r="FU105" s="23">
        <f t="shared" si="368"/>
        <v>2.2727272727272663</v>
      </c>
      <c r="FV105" s="23"/>
      <c r="FW105" s="22">
        <v>16</v>
      </c>
      <c r="FX105" s="10">
        <f>FY105/FW105</f>
        <v>196.875</v>
      </c>
      <c r="FY105" s="20">
        <v>3150</v>
      </c>
      <c r="FZ105" s="20">
        <v>3150</v>
      </c>
      <c r="GA105" s="23">
        <f aca="true" t="shared" si="411" ref="GA105:GD107">FW105*100/FN105-100</f>
        <v>0</v>
      </c>
      <c r="GB105" s="23">
        <f t="shared" si="411"/>
        <v>0</v>
      </c>
      <c r="GC105" s="23">
        <f t="shared" si="411"/>
        <v>0</v>
      </c>
      <c r="GD105" s="23">
        <f t="shared" si="411"/>
        <v>0</v>
      </c>
      <c r="GE105" s="23"/>
      <c r="GF105" s="22">
        <v>17</v>
      </c>
      <c r="GG105" s="10">
        <f>GH105/GF105</f>
        <v>197.05882352941177</v>
      </c>
      <c r="GH105" s="20">
        <v>3350</v>
      </c>
      <c r="GI105" s="20">
        <v>3350</v>
      </c>
      <c r="GJ105" s="23">
        <f t="shared" si="300"/>
        <v>6.25</v>
      </c>
      <c r="GK105" s="23">
        <f t="shared" si="300"/>
        <v>0.0933706816059896</v>
      </c>
      <c r="GL105" s="23">
        <f t="shared" si="363"/>
        <v>6.349206349206355</v>
      </c>
      <c r="GM105" s="23">
        <f t="shared" si="363"/>
        <v>6.349206349206355</v>
      </c>
      <c r="GN105" s="23"/>
      <c r="GO105" s="22">
        <v>5</v>
      </c>
      <c r="GP105" s="10">
        <f>GQ105/GO105</f>
        <v>430</v>
      </c>
      <c r="GQ105" s="20">
        <v>2150</v>
      </c>
      <c r="GR105" s="20">
        <v>2150</v>
      </c>
      <c r="GS105" s="23">
        <f t="shared" si="301"/>
        <v>-70.58823529411765</v>
      </c>
      <c r="GT105" s="23">
        <f t="shared" si="301"/>
        <v>118.2089552238806</v>
      </c>
      <c r="GU105" s="23">
        <f t="shared" si="364"/>
        <v>-35.82089552238806</v>
      </c>
      <c r="GV105" s="23">
        <f t="shared" si="365"/>
        <v>-35.82089552238806</v>
      </c>
      <c r="GW105" s="23"/>
      <c r="GX105" s="22">
        <v>1.5</v>
      </c>
      <c r="GY105" s="10">
        <f>GZ105/GX105</f>
        <v>166.66666666666666</v>
      </c>
      <c r="GZ105" s="20">
        <v>250</v>
      </c>
      <c r="HA105" s="20">
        <v>250</v>
      </c>
      <c r="HB105" s="23">
        <f t="shared" si="302"/>
        <v>-70</v>
      </c>
      <c r="HC105" s="23">
        <f>GY105*100/GP105-100</f>
        <v>-61.24031007751938</v>
      </c>
      <c r="HD105" s="23">
        <f t="shared" si="366"/>
        <v>-88.37209302325581</v>
      </c>
      <c r="HE105" s="23">
        <f t="shared" si="367"/>
        <v>-88.37209302325581</v>
      </c>
      <c r="HF105" s="23"/>
      <c r="HG105" s="22">
        <v>1.4</v>
      </c>
      <c r="HH105" s="10">
        <f>HI105/HG105</f>
        <v>164.2857142857143</v>
      </c>
      <c r="HI105" s="20">
        <v>230</v>
      </c>
      <c r="HJ105" s="20">
        <v>230</v>
      </c>
      <c r="HK105" s="23">
        <f t="shared" si="304"/>
        <v>-6.666666666666671</v>
      </c>
      <c r="HL105" s="23">
        <f>HH105*100/GY105-100</f>
        <v>-1.4285714285714022</v>
      </c>
      <c r="HM105" s="23">
        <f t="shared" si="375"/>
        <v>-8</v>
      </c>
      <c r="HN105" s="23">
        <f t="shared" si="376"/>
        <v>-8</v>
      </c>
      <c r="HO105" s="23"/>
      <c r="HP105" s="22">
        <v>1.9</v>
      </c>
      <c r="HQ105" s="10">
        <f>HR105/HP105</f>
        <v>136.8421052631579</v>
      </c>
      <c r="HR105" s="20">
        <v>260</v>
      </c>
      <c r="HS105" s="20">
        <v>260</v>
      </c>
      <c r="HT105" s="23">
        <f t="shared" si="306"/>
        <v>35.71428571428572</v>
      </c>
      <c r="HU105" s="23">
        <f>HQ105*100/HH105-100</f>
        <v>-16.704805491990868</v>
      </c>
      <c r="HV105" s="23">
        <f t="shared" si="370"/>
        <v>13.043478260869563</v>
      </c>
      <c r="HW105" s="23">
        <f t="shared" si="371"/>
        <v>13.043478260869563</v>
      </c>
      <c r="HX105" s="23"/>
      <c r="HY105" s="22"/>
      <c r="HZ105" s="10" t="e">
        <f>IA105/HY105</f>
        <v>#DIV/0!</v>
      </c>
      <c r="IA105" s="20"/>
      <c r="IB105" s="20"/>
      <c r="IC105" s="23">
        <f t="shared" si="407"/>
        <v>-100</v>
      </c>
      <c r="ID105" s="23" t="e">
        <f>HZ105*100/HQ105-100</f>
        <v>#DIV/0!</v>
      </c>
      <c r="IE105" s="23">
        <f t="shared" si="408"/>
        <v>-100</v>
      </c>
      <c r="IF105" s="23">
        <f t="shared" si="409"/>
        <v>-100</v>
      </c>
      <c r="IG105" s="23"/>
      <c r="IH105" s="1" t="s">
        <v>101</v>
      </c>
      <c r="II105" s="29">
        <f t="shared" si="386"/>
        <v>11.88</v>
      </c>
      <c r="IJ105" s="30">
        <f t="shared" si="387"/>
        <v>214.91436228091348</v>
      </c>
      <c r="IK105" s="29">
        <f t="shared" si="388"/>
        <v>2462</v>
      </c>
      <c r="IL105" s="25">
        <f t="shared" si="360"/>
        <v>-84.006734006734</v>
      </c>
      <c r="IM105" s="25">
        <f t="shared" si="361"/>
        <v>-36.327147329366355</v>
      </c>
      <c r="IN105" s="25">
        <f t="shared" si="362"/>
        <v>-89.43948009748172</v>
      </c>
      <c r="IP105" s="30">
        <f>HP105*100/Italia!BR105</f>
        <v>0.4292912176054588</v>
      </c>
      <c r="IQ105" s="30">
        <f>HR105*100/Italia!BT105</f>
        <v>0.19362237678914523</v>
      </c>
      <c r="IR105" s="30">
        <f>HS105*100/Italia!BU105</f>
        <v>0.19687126133902746</v>
      </c>
    </row>
    <row r="106" spans="1:252" ht="12">
      <c r="A106" s="1" t="s">
        <v>102</v>
      </c>
      <c r="B106" s="20">
        <v>513</v>
      </c>
      <c r="C106" s="10">
        <v>235.1</v>
      </c>
      <c r="D106" s="11">
        <v>119300</v>
      </c>
      <c r="E106" s="9"/>
      <c r="F106" s="20">
        <v>529</v>
      </c>
      <c r="G106" s="10">
        <v>216.6</v>
      </c>
      <c r="H106" s="11">
        <v>114400</v>
      </c>
      <c r="I106" s="23">
        <f aca="true" t="shared" si="412" ref="I106:K107">F106*100/B106-100</f>
        <v>3.11890838206628</v>
      </c>
      <c r="J106" s="23">
        <f t="shared" si="412"/>
        <v>-7.868991918332625</v>
      </c>
      <c r="K106" s="23">
        <f t="shared" si="412"/>
        <v>-4.107292539815589</v>
      </c>
      <c r="L106" s="8"/>
      <c r="M106" s="20">
        <v>543</v>
      </c>
      <c r="N106" s="10">
        <v>212.1</v>
      </c>
      <c r="O106" s="11">
        <v>115200</v>
      </c>
      <c r="P106" s="23">
        <f aca="true" t="shared" si="413" ref="P106:R107">M106*100/F106-100</f>
        <v>2.6465028355387545</v>
      </c>
      <c r="Q106" s="23">
        <f t="shared" si="413"/>
        <v>-2.07756232686981</v>
      </c>
      <c r="R106" s="23">
        <f t="shared" si="413"/>
        <v>0.6993006993006929</v>
      </c>
      <c r="S106" s="8"/>
      <c r="T106" s="20">
        <v>526</v>
      </c>
      <c r="U106" s="10">
        <v>221.6</v>
      </c>
      <c r="V106" s="11">
        <v>116500</v>
      </c>
      <c r="W106" s="23">
        <f aca="true" t="shared" si="414" ref="W106:Y107">T106*100/M106-100</f>
        <v>-3.1307550644567215</v>
      </c>
      <c r="X106" s="23">
        <f t="shared" si="414"/>
        <v>4.479019330504485</v>
      </c>
      <c r="Y106" s="23">
        <f t="shared" si="414"/>
        <v>1.1284722222222285</v>
      </c>
      <c r="Z106" s="8"/>
      <c r="AA106" s="20">
        <v>556</v>
      </c>
      <c r="AB106" s="10">
        <f>122168/AA106</f>
        <v>219.72661870503597</v>
      </c>
      <c r="AC106" s="11">
        <v>119800</v>
      </c>
      <c r="AD106" s="23">
        <f aca="true" t="shared" si="415" ref="AD106:AF107">AA106*100/T106-100</f>
        <v>5.703422053231932</v>
      </c>
      <c r="AE106" s="23">
        <f t="shared" si="415"/>
        <v>-0.8453886710126426</v>
      </c>
      <c r="AF106" s="23">
        <f t="shared" si="415"/>
        <v>2.8326180257510742</v>
      </c>
      <c r="AG106" s="8"/>
      <c r="AH106" s="20">
        <v>561</v>
      </c>
      <c r="AI106" s="10">
        <v>231.4</v>
      </c>
      <c r="AJ106" s="11">
        <v>127500</v>
      </c>
      <c r="AK106" s="23">
        <f aca="true" t="shared" si="416" ref="AK106:AM107">AH106*100/AA106-100</f>
        <v>0.8992805755395636</v>
      </c>
      <c r="AL106" s="23">
        <f t="shared" si="416"/>
        <v>5.312684172614752</v>
      </c>
      <c r="AM106" s="23">
        <f t="shared" si="416"/>
        <v>6.427378964941568</v>
      </c>
      <c r="AN106" s="8"/>
      <c r="AO106" s="20">
        <v>556</v>
      </c>
      <c r="AP106" s="10">
        <v>218.9</v>
      </c>
      <c r="AQ106" s="11">
        <v>116500</v>
      </c>
      <c r="AR106" s="23">
        <f aca="true" t="shared" si="417" ref="AR106:AT107">AO106*100/AH106-100</f>
        <v>-0.8912655971479495</v>
      </c>
      <c r="AS106" s="23">
        <f t="shared" si="417"/>
        <v>-5.401901469317195</v>
      </c>
      <c r="AT106" s="23">
        <f t="shared" si="417"/>
        <v>-8.627450980392155</v>
      </c>
      <c r="AU106" s="8"/>
      <c r="AV106" s="20">
        <v>614</v>
      </c>
      <c r="AW106" s="10">
        <v>248.2</v>
      </c>
      <c r="AX106" s="11">
        <v>143151</v>
      </c>
      <c r="AY106" s="23">
        <f aca="true" t="shared" si="418" ref="AY106:BA107">AV106*100/AO106-100</f>
        <v>10.431654676258987</v>
      </c>
      <c r="AZ106" s="23">
        <f t="shared" si="418"/>
        <v>13.385107354956602</v>
      </c>
      <c r="BA106" s="23">
        <f t="shared" si="418"/>
        <v>22.876394849785413</v>
      </c>
      <c r="BB106" s="8"/>
      <c r="BC106" s="20">
        <v>629</v>
      </c>
      <c r="BD106" s="10">
        <v>228.2</v>
      </c>
      <c r="BE106" s="11">
        <v>138068</v>
      </c>
      <c r="BF106" s="23">
        <f aca="true" t="shared" si="419" ref="BF106:BH107">BC106*100/AV106-100</f>
        <v>2.4429967426710135</v>
      </c>
      <c r="BG106" s="23">
        <f t="shared" si="419"/>
        <v>-8.058017727638997</v>
      </c>
      <c r="BH106" s="23">
        <f t="shared" si="419"/>
        <v>-3.5507960126020777</v>
      </c>
      <c r="BI106" s="8"/>
      <c r="BJ106" s="20">
        <v>679</v>
      </c>
      <c r="BK106" s="10">
        <v>237.34</v>
      </c>
      <c r="BL106" s="11">
        <v>143871</v>
      </c>
      <c r="BM106" s="23">
        <f aca="true" t="shared" si="420" ref="BM106:BO107">BJ106*100/BC106-100</f>
        <v>7.949125596184416</v>
      </c>
      <c r="BN106" s="23">
        <f t="shared" si="420"/>
        <v>4.005258545135845</v>
      </c>
      <c r="BO106" s="23">
        <f t="shared" si="420"/>
        <v>4.2030014195903505</v>
      </c>
      <c r="BP106" s="8"/>
      <c r="BQ106" s="20">
        <v>796</v>
      </c>
      <c r="BR106" s="10">
        <v>239.8</v>
      </c>
      <c r="BS106" s="11">
        <v>169519</v>
      </c>
      <c r="BT106" s="23">
        <f aca="true" t="shared" si="421" ref="BT106:BV107">BQ106*100/BJ106-100</f>
        <v>17.231222385861557</v>
      </c>
      <c r="BU106" s="23">
        <f t="shared" si="421"/>
        <v>1.036487739108452</v>
      </c>
      <c r="BV106" s="23">
        <f t="shared" si="421"/>
        <v>17.827081204690316</v>
      </c>
      <c r="BW106" s="8"/>
      <c r="BX106" s="20">
        <v>810</v>
      </c>
      <c r="BY106" s="10">
        <v>237.3</v>
      </c>
      <c r="BZ106" s="11">
        <v>168867</v>
      </c>
      <c r="CA106" s="23">
        <f aca="true" t="shared" si="422" ref="CA106:CC107">BX106*100/BQ106-100</f>
        <v>1.7587939698492505</v>
      </c>
      <c r="CB106" s="23">
        <f t="shared" si="422"/>
        <v>-1.0425354462051786</v>
      </c>
      <c r="CC106" s="23">
        <f t="shared" si="422"/>
        <v>-0.3846176534783723</v>
      </c>
      <c r="CD106" s="8"/>
      <c r="CE106" s="20">
        <v>709</v>
      </c>
      <c r="CF106" s="10">
        <v>220</v>
      </c>
      <c r="CG106" s="11">
        <v>139054</v>
      </c>
      <c r="CH106" s="23">
        <f aca="true" t="shared" si="423" ref="CH106:CJ107">CE106*100/BX106-100</f>
        <v>-12.46913580246914</v>
      </c>
      <c r="CI106" s="23">
        <f t="shared" si="423"/>
        <v>-7.29034976822588</v>
      </c>
      <c r="CJ106" s="23">
        <f t="shared" si="423"/>
        <v>-17.65472235546318</v>
      </c>
      <c r="CK106" s="8"/>
      <c r="CL106" s="20">
        <v>815</v>
      </c>
      <c r="CM106" s="10">
        <v>221.1</v>
      </c>
      <c r="CN106" s="11">
        <v>178255</v>
      </c>
      <c r="CO106" s="23">
        <f aca="true" t="shared" si="424" ref="CO106:CQ107">CL106*100/CE106-100</f>
        <v>14.950634696755998</v>
      </c>
      <c r="CP106" s="23">
        <f t="shared" si="424"/>
        <v>0.5</v>
      </c>
      <c r="CQ106" s="23">
        <f t="shared" si="424"/>
        <v>28.191206293957748</v>
      </c>
      <c r="CR106" s="8"/>
      <c r="CS106" s="20">
        <v>807</v>
      </c>
      <c r="CT106" s="10">
        <v>220.8</v>
      </c>
      <c r="CU106" s="11">
        <v>177627</v>
      </c>
      <c r="CV106" s="23">
        <f t="shared" si="394"/>
        <v>-0.9815950920245342</v>
      </c>
      <c r="CW106" s="23">
        <f>CT106*100/CM106-100</f>
        <v>-0.1356852103120758</v>
      </c>
      <c r="CX106" s="23">
        <f t="shared" si="395"/>
        <v>-0.35230428318980955</v>
      </c>
      <c r="CY106" s="8"/>
      <c r="CZ106" s="20">
        <v>869</v>
      </c>
      <c r="DA106" s="10">
        <v>245.1</v>
      </c>
      <c r="DB106" s="11">
        <v>212765</v>
      </c>
      <c r="DC106" s="23">
        <f t="shared" si="396"/>
        <v>7.682775712515493</v>
      </c>
      <c r="DD106" s="23">
        <f>DA106*100/CT106-100</f>
        <v>11.005434782608688</v>
      </c>
      <c r="DE106" s="23">
        <f t="shared" si="397"/>
        <v>19.781902526079932</v>
      </c>
      <c r="DF106" s="8"/>
      <c r="DG106" s="20">
        <v>866</v>
      </c>
      <c r="DH106" s="10">
        <v>235.8</v>
      </c>
      <c r="DI106" s="11">
        <v>196220</v>
      </c>
      <c r="DJ106" s="23">
        <f t="shared" si="398"/>
        <v>-0.3452243958573007</v>
      </c>
      <c r="DK106" s="23">
        <f>DH106*100/DA106-100</f>
        <v>-3.794369645042835</v>
      </c>
      <c r="DL106" s="23">
        <f t="shared" si="399"/>
        <v>-7.776184992832469</v>
      </c>
      <c r="DM106" s="8"/>
      <c r="DN106" s="20">
        <v>1027</v>
      </c>
      <c r="DO106" s="10">
        <v>198.9</v>
      </c>
      <c r="DP106" s="11">
        <v>200250</v>
      </c>
      <c r="DQ106" s="23">
        <f t="shared" si="400"/>
        <v>18.591224018475756</v>
      </c>
      <c r="DR106" s="23">
        <f>DO106*100/DH106-100</f>
        <v>-15.648854961832072</v>
      </c>
      <c r="DS106" s="23">
        <f t="shared" si="401"/>
        <v>2.0538171440220196</v>
      </c>
      <c r="DT106" s="8"/>
      <c r="DU106" s="20">
        <v>1066</v>
      </c>
      <c r="DV106" s="10">
        <v>244.5</v>
      </c>
      <c r="DW106" s="11">
        <v>256571</v>
      </c>
      <c r="DX106" s="23">
        <f t="shared" si="402"/>
        <v>3.7974683544303787</v>
      </c>
      <c r="DY106" s="23">
        <f>DV106*100/DO106-100</f>
        <v>22.926093514328798</v>
      </c>
      <c r="DZ106" s="23">
        <f t="shared" si="403"/>
        <v>28.12534332084894</v>
      </c>
      <c r="EA106" s="8"/>
      <c r="EB106" s="20">
        <v>1069</v>
      </c>
      <c r="EC106" s="10">
        <v>233.5</v>
      </c>
      <c r="ED106" s="11">
        <v>245535</v>
      </c>
      <c r="EE106" s="23">
        <f t="shared" si="404"/>
        <v>0.281425891181982</v>
      </c>
      <c r="EF106" s="23">
        <f>EC106*100/DV106-100</f>
        <v>-4.498977505112478</v>
      </c>
      <c r="EG106" s="23">
        <f t="shared" si="405"/>
        <v>-4.301343487767525</v>
      </c>
      <c r="EH106" s="8"/>
      <c r="EI106" s="20">
        <v>1063</v>
      </c>
      <c r="EJ106" s="10">
        <v>232.8</v>
      </c>
      <c r="EK106" s="11">
        <v>243346</v>
      </c>
      <c r="EL106" s="23">
        <f aca="true" t="shared" si="425" ref="EL106:EN107">EI106*100/EB106-100</f>
        <v>-0.5612722170252624</v>
      </c>
      <c r="EM106" s="23">
        <f t="shared" si="425"/>
        <v>-0.29978586723768785</v>
      </c>
      <c r="EN106" s="23">
        <f t="shared" si="425"/>
        <v>-0.8915225935202784</v>
      </c>
      <c r="EO106" s="8"/>
      <c r="EP106" s="20">
        <v>1118</v>
      </c>
      <c r="EQ106" s="10">
        <v>240.3</v>
      </c>
      <c r="ER106" s="11">
        <v>264675</v>
      </c>
      <c r="ES106" s="23">
        <f>EP106*100/EI106-100</f>
        <v>5.174035747883352</v>
      </c>
      <c r="ET106" s="23">
        <f>EQ106*100/EJ106-100</f>
        <v>3.221649484536073</v>
      </c>
      <c r="EU106" s="23">
        <f>ER106*100/EK106-100</f>
        <v>8.764886211402697</v>
      </c>
      <c r="EV106" s="8"/>
      <c r="EW106" s="20">
        <v>1164</v>
      </c>
      <c r="EX106" s="10">
        <f t="shared" si="377"/>
        <v>252.11340206185568</v>
      </c>
      <c r="EY106" s="11">
        <v>293460</v>
      </c>
      <c r="EZ106" s="11">
        <v>289340</v>
      </c>
      <c r="FA106" s="23">
        <f aca="true" t="shared" si="426" ref="FA106:FA115">EW106*100/EP106-100</f>
        <v>4.1144901610017826</v>
      </c>
      <c r="FB106" s="23">
        <f>EX106*100/EQ106-100</f>
        <v>4.916105726947833</v>
      </c>
      <c r="FC106" s="23">
        <f aca="true" t="shared" si="427" ref="FC106:FC117">EZ106*100/ER106-100</f>
        <v>9.31897610276755</v>
      </c>
      <c r="FD106" s="8"/>
      <c r="FE106" s="20">
        <v>1168</v>
      </c>
      <c r="FF106" s="10">
        <f t="shared" si="378"/>
        <v>262.17722602739724</v>
      </c>
      <c r="FG106" s="11">
        <v>306223</v>
      </c>
      <c r="FH106" s="11">
        <v>306223</v>
      </c>
      <c r="FI106" s="23">
        <f aca="true" t="shared" si="428" ref="FI106:FI115">FE106*100/EW106-100</f>
        <v>0.3436426116838476</v>
      </c>
      <c r="FJ106" s="23">
        <f>FF106*100/EX106-100</f>
        <v>3.991784602974974</v>
      </c>
      <c r="FK106" s="23">
        <f>FG106*100/EY106-100</f>
        <v>4.349144687521303</v>
      </c>
      <c r="FL106" s="23">
        <f aca="true" t="shared" si="429" ref="FL106:FL115">FH106*100/EZ106-100</f>
        <v>5.835003801755718</v>
      </c>
      <c r="FM106" s="23"/>
      <c r="FN106" s="20">
        <v>1197</v>
      </c>
      <c r="FO106" s="10">
        <f>FP106/FN106</f>
        <v>289.72431077694233</v>
      </c>
      <c r="FP106" s="11">
        <v>346800</v>
      </c>
      <c r="FQ106" s="11">
        <v>346800</v>
      </c>
      <c r="FR106" s="23">
        <f t="shared" si="410"/>
        <v>2.4828767123287605</v>
      </c>
      <c r="FS106" s="23">
        <f t="shared" si="410"/>
        <v>10.507047147819947</v>
      </c>
      <c r="FT106" s="23">
        <f t="shared" si="368"/>
        <v>13.250800886935338</v>
      </c>
      <c r="FU106" s="23">
        <f t="shared" si="368"/>
        <v>13.250800886935338</v>
      </c>
      <c r="FV106" s="23"/>
      <c r="FW106" s="20">
        <v>1486</v>
      </c>
      <c r="FX106" s="10">
        <f>FY106/FW106</f>
        <v>319.41453566621806</v>
      </c>
      <c r="FY106" s="20">
        <v>474650</v>
      </c>
      <c r="FZ106" s="20">
        <v>474650</v>
      </c>
      <c r="GA106" s="23">
        <f t="shared" si="411"/>
        <v>24.143692564745194</v>
      </c>
      <c r="GB106" s="23">
        <f t="shared" si="411"/>
        <v>10.24775063219812</v>
      </c>
      <c r="GC106" s="23">
        <f t="shared" si="411"/>
        <v>36.86562860438292</v>
      </c>
      <c r="GD106" s="23">
        <f t="shared" si="411"/>
        <v>36.86562860438292</v>
      </c>
      <c r="GE106" s="23"/>
      <c r="GF106" s="20">
        <v>1341</v>
      </c>
      <c r="GG106" s="10">
        <f>GH106/GF106</f>
        <v>293.4862043251305</v>
      </c>
      <c r="GH106" s="20">
        <v>393565</v>
      </c>
      <c r="GI106" s="20">
        <v>393565</v>
      </c>
      <c r="GJ106" s="23">
        <f t="shared" si="300"/>
        <v>-9.757738896366078</v>
      </c>
      <c r="GK106" s="23">
        <f t="shared" si="300"/>
        <v>-8.117455045371571</v>
      </c>
      <c r="GL106" s="23">
        <f t="shared" si="363"/>
        <v>-17.083113873380384</v>
      </c>
      <c r="GM106" s="23">
        <f t="shared" si="363"/>
        <v>-17.083113873380384</v>
      </c>
      <c r="GN106" s="23"/>
      <c r="GO106" s="20">
        <v>1599</v>
      </c>
      <c r="GP106" s="10">
        <f>GQ106/GO106</f>
        <v>295.9224515322076</v>
      </c>
      <c r="GQ106" s="20">
        <v>473180</v>
      </c>
      <c r="GR106" s="20">
        <v>473180</v>
      </c>
      <c r="GS106" s="23">
        <f t="shared" si="301"/>
        <v>19.23937360178971</v>
      </c>
      <c r="GT106" s="23">
        <f t="shared" si="301"/>
        <v>0.8301062098231426</v>
      </c>
      <c r="GU106" s="23">
        <f t="shared" si="364"/>
        <v>20.22918704661238</v>
      </c>
      <c r="GV106" s="23">
        <f t="shared" si="365"/>
        <v>20.22918704661238</v>
      </c>
      <c r="GW106" s="23"/>
      <c r="GX106" s="20">
        <v>1290</v>
      </c>
      <c r="GY106" s="10">
        <f>GZ106/GX106</f>
        <v>265.2674418604651</v>
      </c>
      <c r="GZ106" s="20">
        <v>342195</v>
      </c>
      <c r="HA106" s="20">
        <v>335945</v>
      </c>
      <c r="HB106" s="23">
        <f t="shared" si="302"/>
        <v>-19.32457786116322</v>
      </c>
      <c r="HC106" s="23">
        <f>GY106*100/GP106-100</f>
        <v>-10.359136156455534</v>
      </c>
      <c r="HD106" s="23">
        <f t="shared" si="366"/>
        <v>-27.6818546853206</v>
      </c>
      <c r="HE106" s="23">
        <f t="shared" si="367"/>
        <v>-29.00270510165265</v>
      </c>
      <c r="HF106" s="23"/>
      <c r="HG106" s="20">
        <v>1390</v>
      </c>
      <c r="HH106" s="10">
        <f>HI106/HG106</f>
        <v>276.27338129496405</v>
      </c>
      <c r="HI106" s="20">
        <v>384020</v>
      </c>
      <c r="HJ106" s="20">
        <v>378420</v>
      </c>
      <c r="HK106" s="23">
        <f t="shared" si="304"/>
        <v>7.751937984496124</v>
      </c>
      <c r="HL106" s="23">
        <f>HH106*100/GY106-100</f>
        <v>4.148997463581765</v>
      </c>
      <c r="HM106" s="23">
        <f t="shared" si="375"/>
        <v>12.222563158433061</v>
      </c>
      <c r="HN106" s="23">
        <f t="shared" si="376"/>
        <v>12.64343865811368</v>
      </c>
      <c r="HO106" s="23"/>
      <c r="HP106" s="20">
        <v>1434</v>
      </c>
      <c r="HQ106" s="10">
        <f>HR106/HP106</f>
        <v>277.15829846582983</v>
      </c>
      <c r="HR106" s="20">
        <v>397445</v>
      </c>
      <c r="HS106" s="20">
        <v>397445</v>
      </c>
      <c r="HT106" s="23">
        <f t="shared" si="306"/>
        <v>3.165467625899282</v>
      </c>
      <c r="HU106" s="23">
        <f>HQ106*100/HH106-100</f>
        <v>0.3203048975322673</v>
      </c>
      <c r="HV106" s="23">
        <f t="shared" si="370"/>
        <v>3.495911671267123</v>
      </c>
      <c r="HW106" s="23">
        <f t="shared" si="371"/>
        <v>5.0274826911896895</v>
      </c>
      <c r="HX106" s="23"/>
      <c r="HY106" s="20">
        <v>1443</v>
      </c>
      <c r="HZ106" s="10">
        <f>IA106/HY106</f>
        <v>283.60360360360363</v>
      </c>
      <c r="IA106" s="20">
        <v>409240</v>
      </c>
      <c r="IB106" s="20">
        <v>409240</v>
      </c>
      <c r="IC106" s="23">
        <f t="shared" si="407"/>
        <v>0.6276150627615067</v>
      </c>
      <c r="ID106" s="23">
        <f>HZ106*100/HQ106-100</f>
        <v>2.325495997576425</v>
      </c>
      <c r="IE106" s="23">
        <f t="shared" si="408"/>
        <v>2.967706223502617</v>
      </c>
      <c r="IF106" s="23">
        <f t="shared" si="409"/>
        <v>2.967706223502617</v>
      </c>
      <c r="IG106" s="23"/>
      <c r="IH106" s="1" t="s">
        <v>102</v>
      </c>
      <c r="II106" s="29">
        <f t="shared" si="386"/>
        <v>1281.6</v>
      </c>
      <c r="IJ106" s="30">
        <f t="shared" si="387"/>
        <v>272.74789535451805</v>
      </c>
      <c r="IK106" s="29">
        <f t="shared" si="388"/>
        <v>350614.4</v>
      </c>
      <c r="IL106" s="25">
        <f t="shared" si="360"/>
        <v>11.891385767790268</v>
      </c>
      <c r="IM106" s="25">
        <f t="shared" si="361"/>
        <v>1.6170255339932567</v>
      </c>
      <c r="IN106" s="25">
        <f t="shared" si="362"/>
        <v>13.356724652495728</v>
      </c>
      <c r="IP106" s="30">
        <f>HP106*100/Italia!BR106</f>
        <v>10.046941778182582</v>
      </c>
      <c r="IQ106" s="30">
        <f>HR106*100/Italia!BT106</f>
        <v>11.15311999443249</v>
      </c>
      <c r="IR106" s="30">
        <f>HS106*100/Italia!BU106</f>
        <v>11.964866891627258</v>
      </c>
    </row>
    <row r="107" spans="1:252" ht="12">
      <c r="A107" s="1" t="s">
        <v>103</v>
      </c>
      <c r="B107" s="22">
        <v>52.95</v>
      </c>
      <c r="C107" s="10">
        <v>409.4</v>
      </c>
      <c r="D107" s="11">
        <v>21367</v>
      </c>
      <c r="E107" s="9"/>
      <c r="F107" s="22">
        <v>50.89</v>
      </c>
      <c r="G107" s="10">
        <v>414.1</v>
      </c>
      <c r="H107" s="11">
        <v>20964</v>
      </c>
      <c r="I107" s="23">
        <f t="shared" si="412"/>
        <v>-3.890462700661004</v>
      </c>
      <c r="J107" s="23">
        <f t="shared" si="412"/>
        <v>1.148021494870548</v>
      </c>
      <c r="K107" s="23">
        <f t="shared" si="412"/>
        <v>-1.8860860204988938</v>
      </c>
      <c r="L107" s="8"/>
      <c r="M107" s="22">
        <v>55.72</v>
      </c>
      <c r="N107" s="10">
        <f>24650/M107</f>
        <v>442.3905240488155</v>
      </c>
      <c r="O107" s="11">
        <v>24535</v>
      </c>
      <c r="P107" s="23">
        <f t="shared" si="413"/>
        <v>9.491059147180195</v>
      </c>
      <c r="Q107" s="23">
        <f t="shared" si="413"/>
        <v>6.831809719588378</v>
      </c>
      <c r="R107" s="23">
        <f t="shared" si="413"/>
        <v>17.033962984163324</v>
      </c>
      <c r="S107" s="8"/>
      <c r="T107" s="22">
        <v>37.18</v>
      </c>
      <c r="U107" s="10">
        <f>16942/T107</f>
        <v>455.6750941366326</v>
      </c>
      <c r="V107" s="11">
        <v>16742</v>
      </c>
      <c r="W107" s="23">
        <f t="shared" si="414"/>
        <v>-33.2735104091888</v>
      </c>
      <c r="X107" s="23">
        <f t="shared" si="414"/>
        <v>3.0029056604185342</v>
      </c>
      <c r="Y107" s="23">
        <f t="shared" si="414"/>
        <v>-31.762787854086</v>
      </c>
      <c r="Z107" s="8"/>
      <c r="AA107" s="22">
        <v>46.73</v>
      </c>
      <c r="AB107" s="10">
        <v>463.3</v>
      </c>
      <c r="AC107" s="11">
        <v>21540</v>
      </c>
      <c r="AD107" s="23">
        <f t="shared" si="415"/>
        <v>25.685852608929537</v>
      </c>
      <c r="AE107" s="23">
        <f t="shared" si="415"/>
        <v>1.6733207413528532</v>
      </c>
      <c r="AF107" s="23">
        <f t="shared" si="415"/>
        <v>28.65846374387766</v>
      </c>
      <c r="AG107" s="8"/>
      <c r="AH107" s="22">
        <v>48.82</v>
      </c>
      <c r="AI107" s="10">
        <v>474</v>
      </c>
      <c r="AJ107" s="11">
        <v>22984</v>
      </c>
      <c r="AK107" s="23">
        <f t="shared" si="416"/>
        <v>4.472501604964691</v>
      </c>
      <c r="AL107" s="23">
        <f t="shared" si="416"/>
        <v>2.3095186704079396</v>
      </c>
      <c r="AM107" s="23">
        <f t="shared" si="416"/>
        <v>6.703806870937797</v>
      </c>
      <c r="AN107" s="8"/>
      <c r="AO107" s="22">
        <v>45.82</v>
      </c>
      <c r="AP107" s="10">
        <f>21573/AO107</f>
        <v>470.8206023570493</v>
      </c>
      <c r="AQ107" s="11">
        <v>21168</v>
      </c>
      <c r="AR107" s="23">
        <f t="shared" si="417"/>
        <v>-6.145022531749277</v>
      </c>
      <c r="AS107" s="23">
        <f t="shared" si="417"/>
        <v>-0.6707589964030944</v>
      </c>
      <c r="AT107" s="23">
        <f t="shared" si="417"/>
        <v>-7.901148625130531</v>
      </c>
      <c r="AU107" s="8"/>
      <c r="AV107" s="22">
        <v>48.82</v>
      </c>
      <c r="AW107" s="10">
        <f>23268/AV107</f>
        <v>476.6079475624744</v>
      </c>
      <c r="AX107" s="11">
        <v>22443</v>
      </c>
      <c r="AY107" s="23">
        <f t="shared" si="418"/>
        <v>6.547359231776511</v>
      </c>
      <c r="AZ107" s="23">
        <f t="shared" si="418"/>
        <v>1.2292038998404422</v>
      </c>
      <c r="BA107" s="23">
        <f t="shared" si="418"/>
        <v>6.023242630385482</v>
      </c>
      <c r="BB107" s="8"/>
      <c r="BC107" s="22">
        <v>53.32</v>
      </c>
      <c r="BD107" s="10">
        <f>25383/BC107</f>
        <v>476.0502625656414</v>
      </c>
      <c r="BE107" s="11">
        <v>23443</v>
      </c>
      <c r="BF107" s="23">
        <f t="shared" si="419"/>
        <v>9.217533797623929</v>
      </c>
      <c r="BG107" s="23">
        <f t="shared" si="419"/>
        <v>-0.11701126674140028</v>
      </c>
      <c r="BH107" s="23">
        <f t="shared" si="419"/>
        <v>4.45573229960344</v>
      </c>
      <c r="BI107" s="8"/>
      <c r="BJ107" s="22">
        <v>61.85</v>
      </c>
      <c r="BK107" s="10">
        <f>36015/BJ107</f>
        <v>582.2958771220696</v>
      </c>
      <c r="BL107" s="11">
        <v>33595</v>
      </c>
      <c r="BM107" s="23">
        <f t="shared" si="420"/>
        <v>15.997749437359346</v>
      </c>
      <c r="BN107" s="23">
        <f t="shared" si="420"/>
        <v>22.318150605321478</v>
      </c>
      <c r="BO107" s="23">
        <f t="shared" si="420"/>
        <v>43.30503775114107</v>
      </c>
      <c r="BP107" s="8"/>
      <c r="BQ107" s="22">
        <v>52</v>
      </c>
      <c r="BR107" s="10">
        <f>25479/BQ107</f>
        <v>489.9807692307692</v>
      </c>
      <c r="BS107" s="11">
        <v>24139</v>
      </c>
      <c r="BT107" s="23">
        <f t="shared" si="421"/>
        <v>-15.925626515763952</v>
      </c>
      <c r="BU107" s="23">
        <f t="shared" si="421"/>
        <v>-15.85364271297216</v>
      </c>
      <c r="BV107" s="23">
        <f t="shared" si="421"/>
        <v>-28.147045691323115</v>
      </c>
      <c r="BW107" s="8"/>
      <c r="BX107" s="22">
        <v>53.3</v>
      </c>
      <c r="BY107" s="10">
        <v>458.5</v>
      </c>
      <c r="BZ107" s="11">
        <v>23027</v>
      </c>
      <c r="CA107" s="23">
        <f t="shared" si="422"/>
        <v>2.5</v>
      </c>
      <c r="CB107" s="23">
        <f t="shared" si="422"/>
        <v>-6.42489893637898</v>
      </c>
      <c r="CC107" s="23">
        <f t="shared" si="422"/>
        <v>-4.606653133932639</v>
      </c>
      <c r="CD107" s="8"/>
      <c r="CE107" s="22">
        <v>62.8</v>
      </c>
      <c r="CF107" s="10">
        <f>29300/CE107</f>
        <v>466.56050955414014</v>
      </c>
      <c r="CG107" s="11">
        <v>27452</v>
      </c>
      <c r="CH107" s="23">
        <f t="shared" si="423"/>
        <v>17.823639774859288</v>
      </c>
      <c r="CI107" s="23">
        <f t="shared" si="423"/>
        <v>1.758017350957502</v>
      </c>
      <c r="CJ107" s="23">
        <f t="shared" si="423"/>
        <v>19.216571850436438</v>
      </c>
      <c r="CK107" s="8"/>
      <c r="CL107" s="22">
        <v>59.4</v>
      </c>
      <c r="CM107" s="10">
        <v>460</v>
      </c>
      <c r="CN107" s="11">
        <v>25320</v>
      </c>
      <c r="CO107" s="23">
        <f t="shared" si="424"/>
        <v>-5.414012738853501</v>
      </c>
      <c r="CP107" s="23">
        <f t="shared" si="424"/>
        <v>-1.4061433447099034</v>
      </c>
      <c r="CQ107" s="23">
        <f t="shared" si="424"/>
        <v>-7.766282966632673</v>
      </c>
      <c r="CR107" s="8"/>
      <c r="CS107" s="22">
        <v>59.3</v>
      </c>
      <c r="CT107" s="10">
        <f>27710/CS107</f>
        <v>467.28499156829685</v>
      </c>
      <c r="CU107" s="11">
        <v>26030</v>
      </c>
      <c r="CV107" s="23">
        <f t="shared" si="394"/>
        <v>-0.16835016835015892</v>
      </c>
      <c r="CW107" s="23">
        <f>CT107*100/CM107-100</f>
        <v>1.5836938191949628</v>
      </c>
      <c r="CX107" s="23">
        <f t="shared" si="395"/>
        <v>2.804107424960506</v>
      </c>
      <c r="CY107" s="8"/>
      <c r="CZ107" s="22">
        <v>58.3</v>
      </c>
      <c r="DA107" s="10">
        <f>27670/CZ107</f>
        <v>474.61406518010295</v>
      </c>
      <c r="DB107" s="11">
        <v>25990</v>
      </c>
      <c r="DC107" s="23">
        <f t="shared" si="396"/>
        <v>-1.6863406408094335</v>
      </c>
      <c r="DD107" s="23">
        <f>DA107*100/CT107-100</f>
        <v>1.5684376224471492</v>
      </c>
      <c r="DE107" s="23">
        <f t="shared" si="397"/>
        <v>-0.15366884364195244</v>
      </c>
      <c r="DF107" s="8"/>
      <c r="DG107" s="22">
        <v>56</v>
      </c>
      <c r="DH107" s="10">
        <f>26615/DG107</f>
        <v>475.26785714285717</v>
      </c>
      <c r="DI107" s="11">
        <v>24935</v>
      </c>
      <c r="DJ107" s="23">
        <f t="shared" si="398"/>
        <v>-3.945111492281299</v>
      </c>
      <c r="DK107" s="23">
        <f>DH107*100/DA107-100</f>
        <v>0.13775233620734184</v>
      </c>
      <c r="DL107" s="23">
        <f t="shared" si="399"/>
        <v>-4.059253559061176</v>
      </c>
      <c r="DM107" s="8"/>
      <c r="DN107" s="22">
        <v>62.73</v>
      </c>
      <c r="DO107" s="10">
        <f>27069/DN107</f>
        <v>431.5160210425634</v>
      </c>
      <c r="DP107" s="11">
        <v>25309</v>
      </c>
      <c r="DQ107" s="23">
        <f t="shared" si="400"/>
        <v>12.017857142857139</v>
      </c>
      <c r="DR107" s="23">
        <f>DO107*100/DH107-100</f>
        <v>-9.205721666791092</v>
      </c>
      <c r="DS107" s="23">
        <f t="shared" si="401"/>
        <v>1.499899739322231</v>
      </c>
      <c r="DT107" s="8"/>
      <c r="DU107" s="22">
        <v>66.33</v>
      </c>
      <c r="DV107" s="10">
        <f>29698/DU107</f>
        <v>447.73104176089254</v>
      </c>
      <c r="DW107" s="11">
        <v>28028</v>
      </c>
      <c r="DX107" s="23">
        <f t="shared" si="402"/>
        <v>5.738880918220957</v>
      </c>
      <c r="DY107" s="23">
        <f>DV107*100/DO107-100</f>
        <v>3.7576868360884674</v>
      </c>
      <c r="DZ107" s="23">
        <f t="shared" si="403"/>
        <v>10.743213876486621</v>
      </c>
      <c r="EA107" s="8"/>
      <c r="EB107" s="22">
        <v>69.33</v>
      </c>
      <c r="EC107" s="10">
        <f>31856/EB107</f>
        <v>459.483629020626</v>
      </c>
      <c r="ED107" s="11">
        <v>30096</v>
      </c>
      <c r="EE107" s="23">
        <f t="shared" si="404"/>
        <v>4.522840343735865</v>
      </c>
      <c r="EF107" s="23">
        <f>EC107*100/DV107-100</f>
        <v>2.6249212503808934</v>
      </c>
      <c r="EG107" s="23">
        <f t="shared" si="405"/>
        <v>7.378335949764519</v>
      </c>
      <c r="EH107" s="8"/>
      <c r="EI107" s="22">
        <v>65.23</v>
      </c>
      <c r="EJ107" s="10">
        <f>28556/EI107</f>
        <v>437.7740303541315</v>
      </c>
      <c r="EK107" s="11">
        <v>26796</v>
      </c>
      <c r="EL107" s="23">
        <f t="shared" si="425"/>
        <v>-5.91374585316602</v>
      </c>
      <c r="EM107" s="23">
        <f t="shared" si="425"/>
        <v>-4.724781753980594</v>
      </c>
      <c r="EN107" s="23">
        <f t="shared" si="425"/>
        <v>-10.964912280701753</v>
      </c>
      <c r="EO107" s="8"/>
      <c r="EP107" s="22">
        <v>70</v>
      </c>
      <c r="EQ107" s="10">
        <f>30485/EP107</f>
        <v>435.5</v>
      </c>
      <c r="ER107" s="11">
        <v>28505</v>
      </c>
      <c r="ES107" s="23">
        <f>EP107*100/EI107-100</f>
        <v>7.3125862333282186</v>
      </c>
      <c r="ET107" s="23">
        <f>EQ107*100/EJ107-100</f>
        <v>-0.5194530046224912</v>
      </c>
      <c r="EU107" s="23">
        <f>ER107*100/EK107-100</f>
        <v>6.377817584714137</v>
      </c>
      <c r="EV107" s="8"/>
      <c r="EW107" s="22">
        <v>73.3</v>
      </c>
      <c r="EX107" s="10">
        <f t="shared" si="377"/>
        <v>433.4242837653479</v>
      </c>
      <c r="EY107" s="11">
        <v>31770</v>
      </c>
      <c r="EZ107" s="11">
        <v>29790</v>
      </c>
      <c r="FA107" s="23">
        <f t="shared" si="426"/>
        <v>4.714285714285708</v>
      </c>
      <c r="FB107" s="23">
        <f>EX107*100/EQ107-100</f>
        <v>-0.4766282972794613</v>
      </c>
      <c r="FC107" s="23">
        <f t="shared" si="427"/>
        <v>4.507981055955099</v>
      </c>
      <c r="FD107" s="8"/>
      <c r="FE107" s="22">
        <v>75.05</v>
      </c>
      <c r="FF107" s="10">
        <f t="shared" si="378"/>
        <v>434.85676215856097</v>
      </c>
      <c r="FG107" s="11">
        <v>32636</v>
      </c>
      <c r="FH107" s="11">
        <v>30656</v>
      </c>
      <c r="FI107" s="23">
        <f t="shared" si="428"/>
        <v>2.3874488403819925</v>
      </c>
      <c r="FJ107" s="23">
        <f>FF107*100/EX107-100</f>
        <v>0.33050256916121157</v>
      </c>
      <c r="FK107" s="23">
        <f>FG107*100/EY107-100</f>
        <v>2.7258419892980754</v>
      </c>
      <c r="FL107" s="23">
        <f t="shared" si="429"/>
        <v>2.907015777106409</v>
      </c>
      <c r="FM107" s="23"/>
      <c r="FN107" s="22">
        <v>78.2</v>
      </c>
      <c r="FO107" s="10">
        <f>FP107/FN107</f>
        <v>426.34271099744245</v>
      </c>
      <c r="FP107" s="11">
        <v>33340</v>
      </c>
      <c r="FQ107" s="11">
        <v>31360</v>
      </c>
      <c r="FR107" s="23">
        <f t="shared" si="410"/>
        <v>4.197201865423054</v>
      </c>
      <c r="FS107" s="23">
        <f t="shared" si="410"/>
        <v>-1.9578978417757753</v>
      </c>
      <c r="FT107" s="23">
        <f t="shared" si="368"/>
        <v>2.1571270989091857</v>
      </c>
      <c r="FU107" s="23">
        <f t="shared" si="368"/>
        <v>2.296450939457202</v>
      </c>
      <c r="FV107" s="23"/>
      <c r="FW107" s="22">
        <v>87.6</v>
      </c>
      <c r="FX107" s="10">
        <f>FY107/FW107</f>
        <v>414.26940639269407</v>
      </c>
      <c r="FY107" s="20">
        <v>36290</v>
      </c>
      <c r="FZ107" s="20">
        <v>34310</v>
      </c>
      <c r="GA107" s="23">
        <f t="shared" si="411"/>
        <v>12.020460358056269</v>
      </c>
      <c r="GB107" s="23">
        <f t="shared" si="411"/>
        <v>-2.831830894095148</v>
      </c>
      <c r="GC107" s="23">
        <f t="shared" si="411"/>
        <v>8.84823035392921</v>
      </c>
      <c r="GD107" s="23">
        <f t="shared" si="411"/>
        <v>9.406887755102048</v>
      </c>
      <c r="GE107" s="23"/>
      <c r="GF107" s="22">
        <v>87.2</v>
      </c>
      <c r="GG107" s="10">
        <f>GH107/GF107</f>
        <v>416.6284403669725</v>
      </c>
      <c r="GH107" s="20">
        <v>36330</v>
      </c>
      <c r="GI107" s="20">
        <v>34350</v>
      </c>
      <c r="GJ107" s="23">
        <f t="shared" si="300"/>
        <v>-0.4566210045662018</v>
      </c>
      <c r="GK107" s="23">
        <f t="shared" si="300"/>
        <v>0.5694444093325757</v>
      </c>
      <c r="GL107" s="23">
        <f t="shared" si="363"/>
        <v>0.11022320198401303</v>
      </c>
      <c r="GM107" s="23">
        <f t="shared" si="363"/>
        <v>0.11658408627222627</v>
      </c>
      <c r="GN107" s="23"/>
      <c r="GO107" s="22">
        <v>75.9</v>
      </c>
      <c r="GP107" s="10">
        <f>GQ107/GO107</f>
        <v>404.74308300395256</v>
      </c>
      <c r="GQ107" s="20">
        <v>30720</v>
      </c>
      <c r="GR107" s="20">
        <v>28740</v>
      </c>
      <c r="GS107" s="23">
        <f t="shared" si="301"/>
        <v>-12.958715596330265</v>
      </c>
      <c r="GT107" s="23">
        <f t="shared" si="301"/>
        <v>-2.852747487077721</v>
      </c>
      <c r="GU107" s="23">
        <f t="shared" si="364"/>
        <v>-15.441783649876129</v>
      </c>
      <c r="GV107" s="23">
        <f t="shared" si="365"/>
        <v>-16.33187772925764</v>
      </c>
      <c r="GW107" s="23"/>
      <c r="GX107" s="22">
        <v>73.84</v>
      </c>
      <c r="GY107" s="10">
        <f>GZ107/GX107</f>
        <v>396.49241603466953</v>
      </c>
      <c r="GZ107" s="20">
        <v>29277</v>
      </c>
      <c r="HA107" s="20">
        <v>27517</v>
      </c>
      <c r="HB107" s="23">
        <f t="shared" si="302"/>
        <v>-2.714097496706202</v>
      </c>
      <c r="HC107" s="23">
        <f>GY107*100/GP107-100</f>
        <v>-2.038494866434192</v>
      </c>
      <c r="HD107" s="23">
        <f t="shared" si="366"/>
        <v>-4.697265625</v>
      </c>
      <c r="HE107" s="23">
        <f t="shared" si="367"/>
        <v>-4.255393180236609</v>
      </c>
      <c r="HF107" s="23"/>
      <c r="HG107" s="22">
        <v>78.89</v>
      </c>
      <c r="HH107" s="10">
        <f>HI107/HG107</f>
        <v>398.23805298516925</v>
      </c>
      <c r="HI107" s="20">
        <v>31417</v>
      </c>
      <c r="HJ107" s="20">
        <v>29437</v>
      </c>
      <c r="HK107" s="23">
        <f t="shared" si="304"/>
        <v>6.839111592632719</v>
      </c>
      <c r="HL107" s="23">
        <f>HH107*100/GY107-100</f>
        <v>0.44026994714246825</v>
      </c>
      <c r="HM107" s="23">
        <f t="shared" si="375"/>
        <v>7.309492092769062</v>
      </c>
      <c r="HN107" s="23">
        <f t="shared" si="376"/>
        <v>6.977504815205151</v>
      </c>
      <c r="HO107" s="23"/>
      <c r="HP107" s="22">
        <v>78.24</v>
      </c>
      <c r="HQ107" s="10">
        <f>HR107/HP107</f>
        <v>398.9263803680982</v>
      </c>
      <c r="HR107" s="20">
        <v>31212</v>
      </c>
      <c r="HS107" s="20">
        <v>29320</v>
      </c>
      <c r="HT107" s="23">
        <f t="shared" si="306"/>
        <v>-0.8239320572949822</v>
      </c>
      <c r="HU107" s="23">
        <f>HQ107*100/HH107-100</f>
        <v>0.17284319712022977</v>
      </c>
      <c r="HV107" s="23">
        <f t="shared" si="370"/>
        <v>-0.6525129706846542</v>
      </c>
      <c r="HW107" s="23">
        <f t="shared" si="371"/>
        <v>-0.3974589801949975</v>
      </c>
      <c r="HX107" s="23"/>
      <c r="HY107" s="22"/>
      <c r="HZ107" s="10" t="e">
        <f>IA107/HY107</f>
        <v>#DIV/0!</v>
      </c>
      <c r="IA107" s="20"/>
      <c r="IB107" s="20"/>
      <c r="IC107" s="23">
        <f t="shared" si="407"/>
        <v>-100</v>
      </c>
      <c r="ID107" s="23" t="e">
        <f>HZ107*100/HQ107-100</f>
        <v>#DIV/0!</v>
      </c>
      <c r="IE107" s="23">
        <f t="shared" si="408"/>
        <v>-100</v>
      </c>
      <c r="IF107" s="23">
        <f t="shared" si="409"/>
        <v>-100</v>
      </c>
      <c r="IG107" s="23"/>
      <c r="IH107" s="1" t="s">
        <v>103</v>
      </c>
      <c r="II107" s="29">
        <f t="shared" si="386"/>
        <v>76.521</v>
      </c>
      <c r="IJ107" s="30">
        <f t="shared" si="387"/>
        <v>419.8269186058941</v>
      </c>
      <c r="IK107" s="29">
        <f t="shared" si="388"/>
        <v>30146.1</v>
      </c>
      <c r="IL107" s="25">
        <f t="shared" si="360"/>
        <v>2.2464421531344243</v>
      </c>
      <c r="IM107" s="25">
        <f t="shared" si="361"/>
        <v>-4.978370207227229</v>
      </c>
      <c r="IN107" s="25">
        <f t="shared" si="362"/>
        <v>-2.7403213019262864</v>
      </c>
      <c r="IP107" s="30">
        <f>HP107*100/Italia!BR107</f>
        <v>1.802453493059955</v>
      </c>
      <c r="IQ107" s="30">
        <f>HR107*100/Italia!BT107</f>
        <v>1.4767270709166807</v>
      </c>
      <c r="IR107" s="30">
        <f>HS107*100/Italia!BU107</f>
        <v>1.4563979681956858</v>
      </c>
    </row>
    <row r="108" spans="1:252" ht="12">
      <c r="A108" s="1" t="s">
        <v>104</v>
      </c>
      <c r="B108" s="19">
        <f>B107+B106</f>
        <v>565.95</v>
      </c>
      <c r="C108" s="6" t="s">
        <v>1</v>
      </c>
      <c r="D108" s="9">
        <f>D107+D106</f>
        <v>140667</v>
      </c>
      <c r="E108" s="9"/>
      <c r="F108" s="19">
        <f>F106+F107</f>
        <v>579.89</v>
      </c>
      <c r="G108" s="6" t="s">
        <v>1</v>
      </c>
      <c r="H108" s="9">
        <f>H107+H106</f>
        <v>135364</v>
      </c>
      <c r="I108" s="23">
        <f>F108*100/B108-100</f>
        <v>2.4631151161763256</v>
      </c>
      <c r="J108" s="24" t="s">
        <v>1</v>
      </c>
      <c r="K108" s="23">
        <f>H108*100/D108-100</f>
        <v>-3.7698962798666287</v>
      </c>
      <c r="L108" s="8"/>
      <c r="M108" s="19">
        <f>M106+M107</f>
        <v>598.72</v>
      </c>
      <c r="N108" s="6" t="s">
        <v>1</v>
      </c>
      <c r="O108" s="9">
        <f>O107+O106</f>
        <v>139735</v>
      </c>
      <c r="P108" s="23">
        <f>M108*100/F108-100</f>
        <v>3.2471675662625756</v>
      </c>
      <c r="Q108" s="24" t="s">
        <v>1</v>
      </c>
      <c r="R108" s="23">
        <f>O108*100/H108-100</f>
        <v>3.2290712449395755</v>
      </c>
      <c r="S108" s="8"/>
      <c r="T108" s="19">
        <f>T106+T107</f>
        <v>563.18</v>
      </c>
      <c r="U108" s="6" t="s">
        <v>1</v>
      </c>
      <c r="V108" s="9">
        <f>V107+V106</f>
        <v>133242</v>
      </c>
      <c r="W108" s="23">
        <f>T108*100/M108-100</f>
        <v>-5.9359967931587505</v>
      </c>
      <c r="X108" s="24" t="s">
        <v>1</v>
      </c>
      <c r="Y108" s="23">
        <f>V108*100/O108-100</f>
        <v>-4.646652592407051</v>
      </c>
      <c r="Z108" s="8"/>
      <c r="AA108" s="19">
        <f>AA106+AA107</f>
        <v>602.73</v>
      </c>
      <c r="AB108" s="6" t="s">
        <v>1</v>
      </c>
      <c r="AC108" s="9">
        <f>AC107+AC106</f>
        <v>141340</v>
      </c>
      <c r="AD108" s="23">
        <f>AA108*100/T108-100</f>
        <v>7.0226215419581735</v>
      </c>
      <c r="AE108" s="24" t="s">
        <v>1</v>
      </c>
      <c r="AF108" s="23">
        <f>AC108*100/V108-100</f>
        <v>6.077663199291521</v>
      </c>
      <c r="AG108" s="8"/>
      <c r="AH108" s="19">
        <f>AH106+AH107</f>
        <v>609.82</v>
      </c>
      <c r="AI108" s="6" t="s">
        <v>1</v>
      </c>
      <c r="AJ108" s="9">
        <f>AJ107+AJ106</f>
        <v>150484</v>
      </c>
      <c r="AK108" s="23">
        <f>AH108*100/AA108-100</f>
        <v>1.1763144359829596</v>
      </c>
      <c r="AL108" s="24" t="s">
        <v>1</v>
      </c>
      <c r="AM108" s="23">
        <f>AJ108*100/AC108-100</f>
        <v>6.469506155370027</v>
      </c>
      <c r="AN108" s="8"/>
      <c r="AO108" s="19">
        <f>AO106+AO107</f>
        <v>601.82</v>
      </c>
      <c r="AP108" s="6" t="s">
        <v>1</v>
      </c>
      <c r="AQ108" s="9">
        <f>AQ107+AQ106</f>
        <v>137668</v>
      </c>
      <c r="AR108" s="23">
        <f>AO108*100/AH108-100</f>
        <v>-1.3118625168082332</v>
      </c>
      <c r="AS108" s="24" t="s">
        <v>1</v>
      </c>
      <c r="AT108" s="23">
        <f>AQ108*100/AJ108-100</f>
        <v>-8.516520028707376</v>
      </c>
      <c r="AU108" s="8"/>
      <c r="AV108" s="19">
        <f>AV106+AV107</f>
        <v>662.82</v>
      </c>
      <c r="AW108" s="6" t="s">
        <v>1</v>
      </c>
      <c r="AX108" s="9">
        <f>AX107+AX106</f>
        <v>165594</v>
      </c>
      <c r="AY108" s="23">
        <f aca="true" t="shared" si="430" ref="AY108:AY113">AV108*100/AO108-100</f>
        <v>10.135921039513462</v>
      </c>
      <c r="AZ108" s="24" t="s">
        <v>1</v>
      </c>
      <c r="BA108" s="23">
        <f aca="true" t="shared" si="431" ref="BA108:BA113">AX108*100/AQ108-100</f>
        <v>20.285033558997014</v>
      </c>
      <c r="BB108" s="8"/>
      <c r="BC108" s="19">
        <f>BC106+BC107</f>
        <v>682.32</v>
      </c>
      <c r="BD108" s="6" t="s">
        <v>1</v>
      </c>
      <c r="BE108" s="9">
        <f>BE107+BE106</f>
        <v>161511</v>
      </c>
      <c r="BF108" s="23">
        <f aca="true" t="shared" si="432" ref="BF108:BF113">BC108*100/AV108-100</f>
        <v>2.9419751968860197</v>
      </c>
      <c r="BG108" s="24" t="s">
        <v>1</v>
      </c>
      <c r="BH108" s="23">
        <f aca="true" t="shared" si="433" ref="BH108:BH113">BE108*100/AX108-100</f>
        <v>-2.465669045979922</v>
      </c>
      <c r="BI108" s="8"/>
      <c r="BJ108" s="19">
        <f>BJ106+BJ107</f>
        <v>740.85</v>
      </c>
      <c r="BK108" s="6" t="s">
        <v>1</v>
      </c>
      <c r="BL108" s="9">
        <f>BL107+BL106</f>
        <v>177466</v>
      </c>
      <c r="BM108" s="23">
        <f aca="true" t="shared" si="434" ref="BM108:BM113">BJ108*100/BC108-100</f>
        <v>8.578086528315154</v>
      </c>
      <c r="BN108" s="24" t="s">
        <v>1</v>
      </c>
      <c r="BO108" s="23">
        <f aca="true" t="shared" si="435" ref="BO108:BO113">BL108*100/BE108-100</f>
        <v>9.878584121205364</v>
      </c>
      <c r="BP108" s="8"/>
      <c r="BQ108" s="19">
        <f>BQ106+BQ107</f>
        <v>848</v>
      </c>
      <c r="BR108" s="6" t="s">
        <v>1</v>
      </c>
      <c r="BS108" s="9">
        <f>BS107+BS106</f>
        <v>193658</v>
      </c>
      <c r="BT108" s="23">
        <f aca="true" t="shared" si="436" ref="BT108:BT113">BQ108*100/BJ108-100</f>
        <v>14.463116690288174</v>
      </c>
      <c r="BU108" s="24" t="s">
        <v>1</v>
      </c>
      <c r="BV108" s="23">
        <f aca="true" t="shared" si="437" ref="BV108:BV113">BS108*100/BL108-100</f>
        <v>9.124001217134548</v>
      </c>
      <c r="BW108" s="8"/>
      <c r="BX108" s="19">
        <f>BX106+BX107</f>
        <v>863.3</v>
      </c>
      <c r="BY108" s="6" t="s">
        <v>1</v>
      </c>
      <c r="BZ108" s="9">
        <f>BZ107+BZ106</f>
        <v>191894</v>
      </c>
      <c r="CA108" s="23">
        <f aca="true" t="shared" si="438" ref="CA108:CA114">BX108*100/BQ108-100</f>
        <v>1.8042452830188722</v>
      </c>
      <c r="CB108" s="24" t="s">
        <v>1</v>
      </c>
      <c r="CC108" s="23">
        <f aca="true" t="shared" si="439" ref="CC108:CC114">BZ108*100/BS108-100</f>
        <v>-0.910884135951008</v>
      </c>
      <c r="CD108" s="8"/>
      <c r="CE108" s="19">
        <f>CE106+CE107</f>
        <v>771.8</v>
      </c>
      <c r="CF108" s="6" t="s">
        <v>1</v>
      </c>
      <c r="CG108" s="9">
        <f>CG107+CG106</f>
        <v>166506</v>
      </c>
      <c r="CH108" s="23">
        <f aca="true" t="shared" si="440" ref="CH108:CH114">CE108*100/BX108-100</f>
        <v>-10.598864821035562</v>
      </c>
      <c r="CI108" s="24" t="s">
        <v>1</v>
      </c>
      <c r="CJ108" s="23">
        <f aca="true" t="shared" si="441" ref="CJ108:CJ114">CG108*100/BZ108-100</f>
        <v>-13.23022085109487</v>
      </c>
      <c r="CK108" s="8"/>
      <c r="CL108" s="19">
        <f>CL106+CL107</f>
        <v>874.4</v>
      </c>
      <c r="CM108" s="6" t="s">
        <v>1</v>
      </c>
      <c r="CN108" s="9">
        <f>CN107+CN106</f>
        <v>203575</v>
      </c>
      <c r="CO108" s="23">
        <f aca="true" t="shared" si="442" ref="CO108:CO114">CL108*100/CE108-100</f>
        <v>13.293599378077232</v>
      </c>
      <c r="CP108" s="24" t="s">
        <v>1</v>
      </c>
      <c r="CQ108" s="23">
        <f aca="true" t="shared" si="443" ref="CQ108:CQ114">CN108*100/CG108-100</f>
        <v>22.26286139838804</v>
      </c>
      <c r="CR108" s="8"/>
      <c r="CS108" s="19">
        <f>CS106+CS107</f>
        <v>866.3</v>
      </c>
      <c r="CT108" s="6" t="s">
        <v>1</v>
      </c>
      <c r="CU108" s="9">
        <f>CU107+CU106</f>
        <v>203657</v>
      </c>
      <c r="CV108" s="23">
        <f t="shared" si="394"/>
        <v>-0.9263494967977977</v>
      </c>
      <c r="CW108" s="24" t="s">
        <v>1</v>
      </c>
      <c r="CX108" s="23">
        <f t="shared" si="395"/>
        <v>0.04027999508780056</v>
      </c>
      <c r="CY108" s="8"/>
      <c r="CZ108" s="19">
        <f>CZ106+CZ107</f>
        <v>927.3</v>
      </c>
      <c r="DA108" s="6" t="s">
        <v>1</v>
      </c>
      <c r="DB108" s="9">
        <f>DB107+DB106</f>
        <v>238755</v>
      </c>
      <c r="DC108" s="23">
        <f t="shared" si="396"/>
        <v>7.041440609488632</v>
      </c>
      <c r="DD108" s="24" t="s">
        <v>1</v>
      </c>
      <c r="DE108" s="23">
        <f t="shared" si="397"/>
        <v>17.233878531059574</v>
      </c>
      <c r="DF108" s="8"/>
      <c r="DG108" s="19">
        <f>DG106+DG107</f>
        <v>922</v>
      </c>
      <c r="DH108" s="6" t="s">
        <v>1</v>
      </c>
      <c r="DI108" s="9">
        <f>DI107+DI106</f>
        <v>221155</v>
      </c>
      <c r="DJ108" s="23">
        <f t="shared" si="398"/>
        <v>-0.571551817103412</v>
      </c>
      <c r="DK108" s="24" t="s">
        <v>1</v>
      </c>
      <c r="DL108" s="23">
        <f t="shared" si="399"/>
        <v>-7.3715733701912</v>
      </c>
      <c r="DM108" s="8"/>
      <c r="DN108" s="19">
        <f>DN106+DN107</f>
        <v>1089.73</v>
      </c>
      <c r="DO108" s="6" t="s">
        <v>1</v>
      </c>
      <c r="DP108" s="9">
        <f>DP107+DP106</f>
        <v>225559</v>
      </c>
      <c r="DQ108" s="23">
        <f t="shared" si="400"/>
        <v>18.191973969631235</v>
      </c>
      <c r="DR108" s="24" t="s">
        <v>1</v>
      </c>
      <c r="DS108" s="23">
        <f t="shared" si="401"/>
        <v>1.991363523320743</v>
      </c>
      <c r="DT108" s="8"/>
      <c r="DU108" s="19">
        <f>DU106+DU107</f>
        <v>1132.33</v>
      </c>
      <c r="DV108" s="6" t="s">
        <v>1</v>
      </c>
      <c r="DW108" s="9">
        <f>DW107+DW106</f>
        <v>284599</v>
      </c>
      <c r="DX108" s="23">
        <f t="shared" si="402"/>
        <v>3.909225220926288</v>
      </c>
      <c r="DY108" s="24" t="s">
        <v>1</v>
      </c>
      <c r="DZ108" s="23">
        <f t="shared" si="403"/>
        <v>26.17496974184138</v>
      </c>
      <c r="EA108" s="8"/>
      <c r="EB108" s="19">
        <f>EB106+EB107</f>
        <v>1138.33</v>
      </c>
      <c r="EC108" s="6" t="s">
        <v>1</v>
      </c>
      <c r="ED108" s="9">
        <f>ED107+ED106</f>
        <v>275631</v>
      </c>
      <c r="EE108" s="23">
        <f t="shared" si="404"/>
        <v>0.5298808651188267</v>
      </c>
      <c r="EF108" s="24" t="s">
        <v>1</v>
      </c>
      <c r="EG108" s="23">
        <f t="shared" si="405"/>
        <v>-3.151100320099502</v>
      </c>
      <c r="EH108" s="8"/>
      <c r="EI108" s="19">
        <f>EI106+EI107</f>
        <v>1128.23</v>
      </c>
      <c r="EJ108" s="6" t="s">
        <v>1</v>
      </c>
      <c r="EK108" s="9">
        <f>EK107+EK106</f>
        <v>270142</v>
      </c>
      <c r="EL108" s="23">
        <f aca="true" t="shared" si="444" ref="EL108:EL115">EI108*100/EB108-100</f>
        <v>-0.8872646772025661</v>
      </c>
      <c r="EM108" s="24" t="s">
        <v>1</v>
      </c>
      <c r="EN108" s="23">
        <f aca="true" t="shared" si="445" ref="EN108:EN115">EK108*100/ED108-100</f>
        <v>-1.9914305720328969</v>
      </c>
      <c r="EO108" s="8"/>
      <c r="EP108" s="19">
        <f>EP106+EP107</f>
        <v>1188</v>
      </c>
      <c r="EQ108" s="6" t="s">
        <v>1</v>
      </c>
      <c r="ER108" s="9">
        <f>ER107+ER106</f>
        <v>293180</v>
      </c>
      <c r="ES108" s="23">
        <f aca="true" t="shared" si="446" ref="ES108:ES115">EP108*100/EI108-100</f>
        <v>5.297678664811258</v>
      </c>
      <c r="ET108" s="24" t="s">
        <v>1</v>
      </c>
      <c r="EU108" s="23">
        <f aca="true" t="shared" si="447" ref="EU108:EU115">ER108*100/EK108-100</f>
        <v>8.52810743979093</v>
      </c>
      <c r="EV108" s="8"/>
      <c r="EW108" s="19">
        <f>EW106+EW107</f>
        <v>1237.3</v>
      </c>
      <c r="EX108" s="10">
        <f t="shared" si="377"/>
        <v>262.8546027640831</v>
      </c>
      <c r="EY108" s="9">
        <f>EY107+EY106</f>
        <v>325230</v>
      </c>
      <c r="EZ108" s="9">
        <f>EZ107+EZ106</f>
        <v>319130</v>
      </c>
      <c r="FA108" s="23">
        <f t="shared" si="426"/>
        <v>4.149831649831654</v>
      </c>
      <c r="FB108" s="24" t="s">
        <v>1</v>
      </c>
      <c r="FC108" s="23">
        <f t="shared" si="427"/>
        <v>8.851217681970127</v>
      </c>
      <c r="FD108" s="8"/>
      <c r="FE108" s="19">
        <f>FE106+FE107</f>
        <v>1243.05</v>
      </c>
      <c r="FF108" s="10">
        <f t="shared" si="378"/>
        <v>272.6028719681429</v>
      </c>
      <c r="FG108" s="9">
        <f>FG107+FG106</f>
        <v>338859</v>
      </c>
      <c r="FH108" s="9">
        <f>FH107+FH106</f>
        <v>336879</v>
      </c>
      <c r="FI108" s="23">
        <f t="shared" si="428"/>
        <v>0.46472157116302526</v>
      </c>
      <c r="FJ108" s="24" t="s">
        <v>1</v>
      </c>
      <c r="FK108" s="24" t="s">
        <v>1</v>
      </c>
      <c r="FL108" s="23">
        <f t="shared" si="429"/>
        <v>5.561683326544042</v>
      </c>
      <c r="FM108" s="23"/>
      <c r="FN108" s="19">
        <f>FN106+FN107</f>
        <v>1275.2</v>
      </c>
      <c r="FO108" s="6" t="s">
        <v>1</v>
      </c>
      <c r="FP108" s="19">
        <f>FP106+FP107</f>
        <v>380140</v>
      </c>
      <c r="FQ108" s="9">
        <f>FQ107+FQ106</f>
        <v>378160</v>
      </c>
      <c r="FR108" s="23">
        <f t="shared" si="410"/>
        <v>2.5863802743252506</v>
      </c>
      <c r="FS108" s="24" t="s">
        <v>1</v>
      </c>
      <c r="FT108" s="23">
        <f t="shared" si="368"/>
        <v>12.182353132128696</v>
      </c>
      <c r="FU108" s="23">
        <f t="shared" si="368"/>
        <v>12.253954684026013</v>
      </c>
      <c r="FV108" s="23"/>
      <c r="FW108" s="19">
        <f>FW106+FW107</f>
        <v>1573.6</v>
      </c>
      <c r="FX108" s="6" t="s">
        <v>1</v>
      </c>
      <c r="FY108" s="19">
        <f>FY106+FY107</f>
        <v>510940</v>
      </c>
      <c r="FZ108" s="19">
        <f>FZ106+FZ107</f>
        <v>508960</v>
      </c>
      <c r="GA108" s="24" t="s">
        <v>1</v>
      </c>
      <c r="GB108" s="24" t="s">
        <v>1</v>
      </c>
      <c r="GC108" s="24" t="s">
        <v>1</v>
      </c>
      <c r="GD108" s="24" t="s">
        <v>1</v>
      </c>
      <c r="GE108" s="23"/>
      <c r="GF108" s="19">
        <f>GF106+GF107</f>
        <v>1428.2</v>
      </c>
      <c r="GG108" s="6" t="s">
        <v>1</v>
      </c>
      <c r="GH108" s="19">
        <f>GH106+GH107</f>
        <v>429895</v>
      </c>
      <c r="GI108" s="19">
        <f>GI106+GI107</f>
        <v>427915</v>
      </c>
      <c r="GJ108" s="23">
        <f t="shared" si="300"/>
        <v>-9.239959328927299</v>
      </c>
      <c r="GK108" s="24" t="s">
        <v>1</v>
      </c>
      <c r="GL108" s="23">
        <f t="shared" si="363"/>
        <v>-15.861940736681404</v>
      </c>
      <c r="GM108" s="23">
        <f t="shared" si="363"/>
        <v>-15.923648223828991</v>
      </c>
      <c r="GN108" s="23"/>
      <c r="GO108" s="19">
        <f>GO106+GO107</f>
        <v>1674.9</v>
      </c>
      <c r="GP108" s="6" t="s">
        <v>1</v>
      </c>
      <c r="GQ108" s="19">
        <f>GQ106+GQ107</f>
        <v>503900</v>
      </c>
      <c r="GR108" s="19">
        <f>GR106+GR107</f>
        <v>501920</v>
      </c>
      <c r="GS108" s="23">
        <f t="shared" si="301"/>
        <v>17.27349110768799</v>
      </c>
      <c r="GT108" s="24" t="s">
        <v>1</v>
      </c>
      <c r="GU108" s="23">
        <f t="shared" si="364"/>
        <v>17.214668698170485</v>
      </c>
      <c r="GV108" s="23">
        <f t="shared" si="365"/>
        <v>17.294322470584106</v>
      </c>
      <c r="GW108" s="23"/>
      <c r="GX108" s="19">
        <f>GX106+GX107</f>
        <v>1363.84</v>
      </c>
      <c r="GY108" s="6" t="s">
        <v>1</v>
      </c>
      <c r="GZ108" s="19">
        <f>GZ106+GZ107</f>
        <v>371472</v>
      </c>
      <c r="HA108" s="19">
        <f>HA106+HA107</f>
        <v>363462</v>
      </c>
      <c r="HB108" s="23">
        <f t="shared" si="302"/>
        <v>-18.571855036121562</v>
      </c>
      <c r="HC108" s="24" t="s">
        <v>1</v>
      </c>
      <c r="HD108" s="23">
        <f t="shared" si="366"/>
        <v>-26.280611232387372</v>
      </c>
      <c r="HE108" s="23">
        <f t="shared" si="367"/>
        <v>-27.585671023270635</v>
      </c>
      <c r="HF108" s="23"/>
      <c r="HG108" s="19">
        <f>HG106+HG107</f>
        <v>1468.89</v>
      </c>
      <c r="HH108" s="6" t="s">
        <v>1</v>
      </c>
      <c r="HI108" s="19">
        <f>HI106+HI107</f>
        <v>415437</v>
      </c>
      <c r="HJ108" s="19">
        <f>HJ106+HJ107</f>
        <v>407857</v>
      </c>
      <c r="HK108" s="23">
        <f t="shared" si="304"/>
        <v>7.7025164242139965</v>
      </c>
      <c r="HL108" s="24" t="s">
        <v>1</v>
      </c>
      <c r="HM108" s="23">
        <f t="shared" si="375"/>
        <v>11.835346944049618</v>
      </c>
      <c r="HN108" s="23">
        <f t="shared" si="376"/>
        <v>12.214481844044215</v>
      </c>
      <c r="HO108" s="23"/>
      <c r="HP108" s="19">
        <f>HP106+HP107</f>
        <v>1512.24</v>
      </c>
      <c r="HQ108" s="6" t="s">
        <v>1</v>
      </c>
      <c r="HR108" s="19">
        <f>HR106+HR107</f>
        <v>428657</v>
      </c>
      <c r="HS108" s="19">
        <f>HS106+HS107</f>
        <v>426765</v>
      </c>
      <c r="HT108" s="23">
        <f t="shared" si="306"/>
        <v>2.951208055061983</v>
      </c>
      <c r="HU108" s="24" t="s">
        <v>1</v>
      </c>
      <c r="HV108" s="23">
        <f t="shared" si="370"/>
        <v>3.1821912829141326</v>
      </c>
      <c r="HW108" s="23">
        <f t="shared" si="371"/>
        <v>4.635938576510881</v>
      </c>
      <c r="HX108" s="23"/>
      <c r="HY108" s="19">
        <f>HY106+HY107</f>
        <v>1443</v>
      </c>
      <c r="HZ108" s="6" t="s">
        <v>1</v>
      </c>
      <c r="IA108" s="19">
        <f>IA106+IA107</f>
        <v>409240</v>
      </c>
      <c r="IB108" s="19">
        <f>IB106+IB107</f>
        <v>409240</v>
      </c>
      <c r="IC108" s="23">
        <f t="shared" si="407"/>
        <v>-4.578638311379152</v>
      </c>
      <c r="ID108" s="24" t="s">
        <v>1</v>
      </c>
      <c r="IE108" s="23">
        <f t="shared" si="408"/>
        <v>-4.529728897463471</v>
      </c>
      <c r="IF108" s="23">
        <f t="shared" si="409"/>
        <v>-4.106475460733662</v>
      </c>
      <c r="IG108" s="23"/>
      <c r="IH108" s="1" t="s">
        <v>104</v>
      </c>
      <c r="II108" s="29">
        <f t="shared" si="386"/>
        <v>1358.1209999999999</v>
      </c>
      <c r="IJ108" s="30">
        <f t="shared" si="387"/>
        <v>267.728737366113</v>
      </c>
      <c r="IK108" s="29">
        <f t="shared" si="388"/>
        <v>380760.5</v>
      </c>
      <c r="IL108" s="25">
        <f t="shared" si="360"/>
        <v>11.347957950727519</v>
      </c>
      <c r="IM108" s="25">
        <f t="shared" si="361"/>
        <v>-100</v>
      </c>
      <c r="IN108" s="25">
        <f t="shared" si="362"/>
        <v>12.08226693682775</v>
      </c>
      <c r="IP108" s="30">
        <f>HP108*100/Italia!BR108</f>
        <v>8.12431670136324</v>
      </c>
      <c r="IQ108" s="30">
        <f>HR108*100/Italia!BT108</f>
        <v>7.550599995596363</v>
      </c>
      <c r="IR108" s="30">
        <f>HS108*100/Italia!BU108</f>
        <v>7.999414427830948</v>
      </c>
    </row>
    <row r="109" spans="1:252" ht="12">
      <c r="A109" s="1" t="s">
        <v>151</v>
      </c>
      <c r="B109" s="20">
        <v>98330</v>
      </c>
      <c r="C109" s="10">
        <v>420.1</v>
      </c>
      <c r="D109" s="11">
        <v>40916500</v>
      </c>
      <c r="E109" s="9"/>
      <c r="F109" s="20">
        <v>115334</v>
      </c>
      <c r="G109" s="10">
        <v>478.6</v>
      </c>
      <c r="H109" s="11">
        <v>55200300</v>
      </c>
      <c r="I109" s="23">
        <f>F109*100/B109-100</f>
        <v>17.292789586087665</v>
      </c>
      <c r="J109" s="23">
        <f>G109*100/C109-100</f>
        <v>13.925255891454412</v>
      </c>
      <c r="K109" s="23">
        <f>H109*100/D109-100</f>
        <v>34.90963303312844</v>
      </c>
      <c r="L109" s="8"/>
      <c r="M109" s="20">
        <v>101378</v>
      </c>
      <c r="N109" s="10">
        <v>510.1</v>
      </c>
      <c r="O109" s="11">
        <v>51716100</v>
      </c>
      <c r="P109" s="23">
        <f>M109*100/F109-100</f>
        <v>-12.100508089548612</v>
      </c>
      <c r="Q109" s="23">
        <f>N109*100/G109-100</f>
        <v>6.581696615127456</v>
      </c>
      <c r="R109" s="23">
        <f>O109*100/H109-100</f>
        <v>-6.311922217814029</v>
      </c>
      <c r="S109" s="8"/>
      <c r="T109" s="20">
        <v>98800</v>
      </c>
      <c r="U109" s="10">
        <v>518.7</v>
      </c>
      <c r="V109" s="11">
        <v>51252700</v>
      </c>
      <c r="W109" s="23">
        <f>T109*100/M109-100</f>
        <v>-2.5429580382331523</v>
      </c>
      <c r="X109" s="23">
        <f>U109*100/N109-100</f>
        <v>1.6859439325622532</v>
      </c>
      <c r="Y109" s="23">
        <f>V109*100/O109-100</f>
        <v>-0.8960459122014157</v>
      </c>
      <c r="Z109" s="8"/>
      <c r="AA109" s="20">
        <v>107280</v>
      </c>
      <c r="AB109" s="10">
        <v>599.7</v>
      </c>
      <c r="AC109" s="11">
        <v>64334400</v>
      </c>
      <c r="AD109" s="23">
        <f>AA109*100/T109-100</f>
        <v>8.582995951417004</v>
      </c>
      <c r="AE109" s="23">
        <f>AB109*100/U109-100</f>
        <v>15.61596298438404</v>
      </c>
      <c r="AF109" s="23">
        <f>AC109*100/V109-100</f>
        <v>25.523923617682584</v>
      </c>
      <c r="AG109" s="8"/>
      <c r="AH109" s="20">
        <v>97170</v>
      </c>
      <c r="AI109" s="10">
        <v>416.4</v>
      </c>
      <c r="AJ109" s="11">
        <v>40304900</v>
      </c>
      <c r="AK109" s="23">
        <f>AH109*100/AA109-100</f>
        <v>-9.423937360178968</v>
      </c>
      <c r="AL109" s="23">
        <f>AI109*100/AB109-100</f>
        <v>-30.565282641320664</v>
      </c>
      <c r="AM109" s="23">
        <f>AJ109*100/AC109-100</f>
        <v>-37.3509351140292</v>
      </c>
      <c r="AN109" s="8"/>
      <c r="AO109" s="20">
        <v>91235</v>
      </c>
      <c r="AP109" s="10">
        <v>441.5</v>
      </c>
      <c r="AQ109" s="11">
        <v>40259600</v>
      </c>
      <c r="AR109" s="23">
        <f>AO109*100/AH109-100</f>
        <v>-6.107852217762684</v>
      </c>
      <c r="AS109" s="23">
        <f>AP109*100/AI109-100</f>
        <v>6.027857829010571</v>
      </c>
      <c r="AT109" s="23">
        <f>AQ109*100/AJ109-100</f>
        <v>-0.11239328220638356</v>
      </c>
      <c r="AU109" s="8"/>
      <c r="AV109" s="20">
        <v>94899</v>
      </c>
      <c r="AW109" s="10">
        <v>530.4</v>
      </c>
      <c r="AX109" s="11">
        <v>49099857</v>
      </c>
      <c r="AY109" s="23">
        <f t="shared" si="430"/>
        <v>4.016002630569403</v>
      </c>
      <c r="AZ109" s="23">
        <f>AW109*100/AP109-100</f>
        <v>20.135900339750847</v>
      </c>
      <c r="BA109" s="23">
        <f t="shared" si="431"/>
        <v>21.958134208983694</v>
      </c>
      <c r="BB109" s="8"/>
      <c r="BC109" s="20">
        <v>86870</v>
      </c>
      <c r="BD109" s="10">
        <v>415.7</v>
      </c>
      <c r="BE109" s="11">
        <v>35427355</v>
      </c>
      <c r="BF109" s="23">
        <f t="shared" si="432"/>
        <v>-8.460573873275806</v>
      </c>
      <c r="BG109" s="23">
        <f>BD109*100/AW109-100</f>
        <v>-21.625188536953246</v>
      </c>
      <c r="BH109" s="23">
        <f t="shared" si="433"/>
        <v>-27.84631735281836</v>
      </c>
      <c r="BI109" s="8"/>
      <c r="BJ109" s="20">
        <v>90300</v>
      </c>
      <c r="BK109" s="10">
        <v>444.5</v>
      </c>
      <c r="BL109" s="11">
        <v>40131010</v>
      </c>
      <c r="BM109" s="23">
        <f t="shared" si="434"/>
        <v>3.94842868654311</v>
      </c>
      <c r="BN109" s="23">
        <f>BK109*100/BD109-100</f>
        <v>6.928073129660817</v>
      </c>
      <c r="BO109" s="23">
        <f t="shared" si="435"/>
        <v>13.276901422643604</v>
      </c>
      <c r="BP109" s="8"/>
      <c r="BQ109" s="20">
        <v>87724</v>
      </c>
      <c r="BR109" s="10">
        <v>395.9</v>
      </c>
      <c r="BS109" s="11">
        <v>45439390</v>
      </c>
      <c r="BT109" s="23">
        <f t="shared" si="436"/>
        <v>-2.8527131782945787</v>
      </c>
      <c r="BU109" s="23">
        <f>BR109*100/BK109-100</f>
        <v>-10.933633295838021</v>
      </c>
      <c r="BV109" s="23">
        <f t="shared" si="437"/>
        <v>13.227626217232014</v>
      </c>
      <c r="BW109" s="8"/>
      <c r="BX109" s="20">
        <v>77371</v>
      </c>
      <c r="BY109" s="10">
        <v>448.2</v>
      </c>
      <c r="BZ109" s="11">
        <v>34610761</v>
      </c>
      <c r="CA109" s="23">
        <f t="shared" si="438"/>
        <v>-11.80178742419406</v>
      </c>
      <c r="CB109" s="23">
        <f aca="true" t="shared" si="448" ref="CB109:CB114">BY109*100/BR109-100</f>
        <v>13.2104066683506</v>
      </c>
      <c r="CC109" s="23">
        <f t="shared" si="439"/>
        <v>-23.830929508516732</v>
      </c>
      <c r="CD109" s="8"/>
      <c r="CE109" s="20">
        <v>85430</v>
      </c>
      <c r="CF109" s="10">
        <v>511.2</v>
      </c>
      <c r="CG109" s="11">
        <v>43670468</v>
      </c>
      <c r="CH109" s="23">
        <f t="shared" si="440"/>
        <v>10.41604735624459</v>
      </c>
      <c r="CI109" s="23">
        <f aca="true" t="shared" si="449" ref="CI109:CI114">CF109*100/BY109-100</f>
        <v>14.05622489959839</v>
      </c>
      <c r="CJ109" s="23">
        <f t="shared" si="441"/>
        <v>26.175983244055217</v>
      </c>
      <c r="CK109" s="8"/>
      <c r="CL109" s="20">
        <v>81750</v>
      </c>
      <c r="CM109" s="10">
        <v>481.7</v>
      </c>
      <c r="CN109" s="11">
        <v>39382500</v>
      </c>
      <c r="CO109" s="23">
        <f t="shared" si="442"/>
        <v>-4.307620273908469</v>
      </c>
      <c r="CP109" s="23">
        <f aca="true" t="shared" si="450" ref="CP109:CP114">CM109*100/CF109-100</f>
        <v>-5.770735524256651</v>
      </c>
      <c r="CQ109" s="23">
        <f t="shared" si="443"/>
        <v>-9.818919275149511</v>
      </c>
      <c r="CR109" s="8"/>
      <c r="CS109" s="20">
        <v>84742</v>
      </c>
      <c r="CT109" s="10">
        <v>537.8</v>
      </c>
      <c r="CU109" s="11">
        <v>45574390</v>
      </c>
      <c r="CV109" s="23">
        <f t="shared" si="394"/>
        <v>3.6599388379204925</v>
      </c>
      <c r="CW109" s="23">
        <f aca="true" t="shared" si="451" ref="CW109:CW114">CT109*100/CM109-100</f>
        <v>11.64625285447373</v>
      </c>
      <c r="CX109" s="23">
        <f t="shared" si="395"/>
        <v>15.722440170126319</v>
      </c>
      <c r="CY109" s="8"/>
      <c r="CZ109" s="20">
        <v>75894</v>
      </c>
      <c r="DA109" s="10">
        <v>545</v>
      </c>
      <c r="DB109" s="11">
        <v>37953166</v>
      </c>
      <c r="DC109" s="23">
        <f t="shared" si="396"/>
        <v>-10.44110358499917</v>
      </c>
      <c r="DD109" s="23">
        <f aca="true" t="shared" si="452" ref="DD109:DD114">DA109*100/CT109-100</f>
        <v>1.3387876534027612</v>
      </c>
      <c r="DE109" s="23">
        <f t="shared" si="397"/>
        <v>-16.722602321172047</v>
      </c>
      <c r="DF109" s="8"/>
      <c r="DG109" s="20">
        <v>66572</v>
      </c>
      <c r="DH109" s="10">
        <v>573.8</v>
      </c>
      <c r="DI109" s="11">
        <v>34074623</v>
      </c>
      <c r="DJ109" s="23">
        <f t="shared" si="398"/>
        <v>-12.282920916014447</v>
      </c>
      <c r="DK109" s="23">
        <f aca="true" t="shared" si="453" ref="DK109:DK115">DH109*100/DA109-100</f>
        <v>5.284403669724753</v>
      </c>
      <c r="DL109" s="23">
        <f t="shared" si="399"/>
        <v>-10.219287107694782</v>
      </c>
      <c r="DM109" s="8"/>
      <c r="DN109" s="20">
        <v>78989</v>
      </c>
      <c r="DO109" s="10">
        <v>639.5</v>
      </c>
      <c r="DP109" s="11">
        <v>42706145</v>
      </c>
      <c r="DQ109" s="23">
        <f t="shared" si="400"/>
        <v>18.65198581986421</v>
      </c>
      <c r="DR109" s="23">
        <f aca="true" t="shared" si="454" ref="DR109:DR115">DO109*100/DH109-100</f>
        <v>11.449982572324856</v>
      </c>
      <c r="DS109" s="23">
        <f t="shared" si="401"/>
        <v>25.33123257152397</v>
      </c>
      <c r="DT109" s="8"/>
      <c r="DU109" s="20">
        <v>67871</v>
      </c>
      <c r="DV109" s="10">
        <v>368.2</v>
      </c>
      <c r="DW109" s="11">
        <v>22934654</v>
      </c>
      <c r="DX109" s="23">
        <f t="shared" si="402"/>
        <v>-14.07537758422059</v>
      </c>
      <c r="DY109" s="23">
        <f aca="true" t="shared" si="455" ref="DY109:DY115">DV109*100/DO109-100</f>
        <v>-42.423768569194685</v>
      </c>
      <c r="DZ109" s="23">
        <f t="shared" si="403"/>
        <v>-46.29659502162979</v>
      </c>
      <c r="EA109" s="8"/>
      <c r="EB109" s="20">
        <v>60267</v>
      </c>
      <c r="EC109" s="10">
        <v>501.3</v>
      </c>
      <c r="ED109" s="11">
        <v>27442270</v>
      </c>
      <c r="EE109" s="23">
        <f t="shared" si="404"/>
        <v>-11.20360684239219</v>
      </c>
      <c r="EF109" s="23">
        <f aca="true" t="shared" si="456" ref="EF109:EF115">EC109*100/DV109-100</f>
        <v>36.148832156436725</v>
      </c>
      <c r="EG109" s="23">
        <f t="shared" si="405"/>
        <v>19.654170496751334</v>
      </c>
      <c r="EH109" s="8"/>
      <c r="EI109" s="20">
        <v>82141</v>
      </c>
      <c r="EJ109" s="10">
        <v>676.7</v>
      </c>
      <c r="EK109" s="11">
        <v>47876268</v>
      </c>
      <c r="EL109" s="23">
        <f t="shared" si="444"/>
        <v>36.29515323477193</v>
      </c>
      <c r="EM109" s="23">
        <f aca="true" t="shared" si="457" ref="EM109:EM115">EJ109*100/EC109-100</f>
        <v>34.98902852583282</v>
      </c>
      <c r="EN109" s="23">
        <f t="shared" si="445"/>
        <v>74.4617628206413</v>
      </c>
      <c r="EO109" s="8"/>
      <c r="EP109" s="20">
        <v>31826</v>
      </c>
      <c r="EQ109" s="10">
        <v>611.8</v>
      </c>
      <c r="ER109" s="11">
        <v>17707652</v>
      </c>
      <c r="ES109" s="23">
        <f t="shared" si="446"/>
        <v>-61.25442836098903</v>
      </c>
      <c r="ET109" s="23">
        <f aca="true" t="shared" si="458" ref="ET109:ET115">EQ109*100/EJ109-100</f>
        <v>-9.590660558593186</v>
      </c>
      <c r="EU109" s="23">
        <f t="shared" si="447"/>
        <v>-63.01371694218104</v>
      </c>
      <c r="EV109" s="8"/>
      <c r="EW109" s="20">
        <v>32902</v>
      </c>
      <c r="EX109" s="10">
        <f t="shared" si="377"/>
        <v>605.9491824205215</v>
      </c>
      <c r="EY109" s="11">
        <v>19936940</v>
      </c>
      <c r="EZ109" s="11">
        <v>18366168</v>
      </c>
      <c r="FA109" s="23">
        <f t="shared" si="426"/>
        <v>3.380883554326658</v>
      </c>
      <c r="FB109" s="23">
        <f aca="true" t="shared" si="459" ref="FB109:FB115">EX109*100/EQ109-100</f>
        <v>-0.9563284700030152</v>
      </c>
      <c r="FC109" s="23">
        <f t="shared" si="427"/>
        <v>3.7188216709928525</v>
      </c>
      <c r="FD109" s="8"/>
      <c r="FE109" s="20">
        <v>27588</v>
      </c>
      <c r="FF109" s="10">
        <v>593.5</v>
      </c>
      <c r="FG109" s="11">
        <v>17774156</v>
      </c>
      <c r="FH109" s="11">
        <v>16371918</v>
      </c>
      <c r="FI109" s="23">
        <f t="shared" si="428"/>
        <v>-16.150993860555587</v>
      </c>
      <c r="FJ109" s="23">
        <f aca="true" t="shared" si="460" ref="FJ109:FK115">FF109*100/EX109-100</f>
        <v>-2.054492815848363</v>
      </c>
      <c r="FK109" s="23">
        <f t="shared" si="460"/>
        <v>-10.848124135398919</v>
      </c>
      <c r="FL109" s="23">
        <f t="shared" si="429"/>
        <v>-10.858280290150887</v>
      </c>
      <c r="FM109" s="23"/>
      <c r="FN109" s="20">
        <v>28047</v>
      </c>
      <c r="FO109" s="10">
        <f>FP109/FN109</f>
        <v>576.7461404071737</v>
      </c>
      <c r="FP109" s="11">
        <v>16175999</v>
      </c>
      <c r="FQ109" s="11">
        <v>14965278</v>
      </c>
      <c r="FR109" s="23">
        <f aca="true" t="shared" si="461" ref="FR109:FS122">FN109*100/FE109-100</f>
        <v>1.663766855154421</v>
      </c>
      <c r="FS109" s="23">
        <f t="shared" si="461"/>
        <v>-2.822891254056671</v>
      </c>
      <c r="FT109" s="23">
        <f t="shared" si="368"/>
        <v>-8.991464911189027</v>
      </c>
      <c r="FU109" s="23">
        <f t="shared" si="368"/>
        <v>-8.591785030929174</v>
      </c>
      <c r="FV109" s="23"/>
      <c r="FW109" s="20">
        <v>26004</v>
      </c>
      <c r="FX109" s="10">
        <f>FY109/FW109</f>
        <v>681.1365174588525</v>
      </c>
      <c r="FY109" s="20">
        <v>17712274</v>
      </c>
      <c r="FZ109" s="20">
        <v>15448545</v>
      </c>
      <c r="GA109" s="23">
        <f aca="true" t="shared" si="462" ref="GA109:GD122">FW109*100/FN109-100</f>
        <v>-7.28420151887903</v>
      </c>
      <c r="GB109" s="23">
        <f t="shared" si="462"/>
        <v>18.09988307472345</v>
      </c>
      <c r="GC109" s="23">
        <f t="shared" si="462"/>
        <v>9.497249598000096</v>
      </c>
      <c r="GD109" s="23">
        <f t="shared" si="462"/>
        <v>3.2292550796583868</v>
      </c>
      <c r="GE109" s="23"/>
      <c r="GF109" s="20">
        <v>20730</v>
      </c>
      <c r="GG109" s="10">
        <f>GH109/GF109</f>
        <v>665.3334298118668</v>
      </c>
      <c r="GH109" s="20">
        <v>13792362</v>
      </c>
      <c r="GI109" s="20">
        <v>12335004</v>
      </c>
      <c r="GJ109" s="23">
        <f t="shared" si="300"/>
        <v>-20.281495154591596</v>
      </c>
      <c r="GK109" s="23">
        <f t="shared" si="300"/>
        <v>-2.3201057705646093</v>
      </c>
      <c r="GL109" s="23">
        <f t="shared" si="363"/>
        <v>-22.131048785717752</v>
      </c>
      <c r="GM109" s="23">
        <f t="shared" si="363"/>
        <v>-20.15426695523753</v>
      </c>
      <c r="GN109" s="23"/>
      <c r="GO109" s="20">
        <v>26038</v>
      </c>
      <c r="GP109" s="10">
        <f>GQ109/GO109</f>
        <v>526.5209309470773</v>
      </c>
      <c r="GQ109" s="20">
        <v>13709552</v>
      </c>
      <c r="GR109" s="20">
        <v>12054028</v>
      </c>
      <c r="GS109" s="23">
        <f t="shared" si="301"/>
        <v>25.605402797877474</v>
      </c>
      <c r="GT109" s="23">
        <f t="shared" si="301"/>
        <v>-20.86359900840108</v>
      </c>
      <c r="GU109" s="23">
        <f t="shared" si="364"/>
        <v>-0.6004047747586725</v>
      </c>
      <c r="GV109" s="23">
        <f t="shared" si="365"/>
        <v>-2.277875224037217</v>
      </c>
      <c r="GW109" s="23"/>
      <c r="GX109" s="20">
        <v>20752</v>
      </c>
      <c r="GY109" s="10">
        <f>GZ109/GX109</f>
        <v>603.958799151889</v>
      </c>
      <c r="GZ109" s="20">
        <v>12533353</v>
      </c>
      <c r="HA109" s="20">
        <v>11059525</v>
      </c>
      <c r="HB109" s="23">
        <f t="shared" si="302"/>
        <v>-20.301098394653962</v>
      </c>
      <c r="HC109" s="23">
        <f>GY109*100/GP109-100</f>
        <v>14.707462448932588</v>
      </c>
      <c r="HD109" s="23">
        <f t="shared" si="366"/>
        <v>-8.579412368835975</v>
      </c>
      <c r="HE109" s="23">
        <f t="shared" si="367"/>
        <v>-8.250379043420168</v>
      </c>
      <c r="HF109" s="23"/>
      <c r="HG109" s="20">
        <v>27073</v>
      </c>
      <c r="HH109" s="10">
        <f>HI109/HG109</f>
        <v>862.5306393824105</v>
      </c>
      <c r="HI109" s="20">
        <v>23351292</v>
      </c>
      <c r="HJ109" s="20">
        <v>20351390</v>
      </c>
      <c r="HK109" s="23">
        <f t="shared" si="304"/>
        <v>30.459714726291452</v>
      </c>
      <c r="HL109" s="23">
        <f>HH109*100/GY109-100</f>
        <v>42.81282772825264</v>
      </c>
      <c r="HM109" s="23">
        <f t="shared" si="375"/>
        <v>86.31320764682843</v>
      </c>
      <c r="HN109" s="23">
        <f t="shared" si="376"/>
        <v>84.01685425006951</v>
      </c>
      <c r="HO109" s="23"/>
      <c r="HP109" s="20">
        <v>22824</v>
      </c>
      <c r="HQ109" s="10">
        <f aca="true" t="shared" si="463" ref="HQ109:HQ115">HR109/HP109</f>
        <v>630.8027953031897</v>
      </c>
      <c r="HR109" s="20">
        <v>14397443</v>
      </c>
      <c r="HS109" s="20">
        <v>12684105</v>
      </c>
      <c r="HT109" s="23">
        <f t="shared" si="306"/>
        <v>-15.694603479481401</v>
      </c>
      <c r="HU109" s="23">
        <f aca="true" t="shared" si="464" ref="HU109:HU115">HQ109*100/HH109-100</f>
        <v>-26.86604202781048</v>
      </c>
      <c r="HV109" s="23">
        <f t="shared" si="370"/>
        <v>-38.344126740396206</v>
      </c>
      <c r="HW109" s="23">
        <f t="shared" si="371"/>
        <v>-37.674502822657324</v>
      </c>
      <c r="HX109" s="23"/>
      <c r="HY109" s="20"/>
      <c r="HZ109" s="10" t="e">
        <f>IA109/HY109</f>
        <v>#DIV/0!</v>
      </c>
      <c r="IA109" s="20"/>
      <c r="IB109" s="20"/>
      <c r="IC109" s="23">
        <f t="shared" si="407"/>
        <v>-100</v>
      </c>
      <c r="ID109" s="23" t="e">
        <f>HZ109*100/HQ109-100</f>
        <v>#DIV/0!</v>
      </c>
      <c r="IE109" s="23">
        <f t="shared" si="408"/>
        <v>-100</v>
      </c>
      <c r="IF109" s="23">
        <f t="shared" si="409"/>
        <v>-100</v>
      </c>
      <c r="IG109" s="23"/>
      <c r="IH109" s="1" t="s">
        <v>105</v>
      </c>
      <c r="II109" s="29">
        <f t="shared" si="386"/>
        <v>32310.1</v>
      </c>
      <c r="IJ109" s="30">
        <f t="shared" si="387"/>
        <v>640.4175639579792</v>
      </c>
      <c r="IK109" s="29">
        <f t="shared" si="388"/>
        <v>18653577.6</v>
      </c>
      <c r="IL109" s="25">
        <f aca="true" t="shared" si="465" ref="IL109:IL116">HP109*100/II109-100</f>
        <v>-29.359550109718015</v>
      </c>
      <c r="IM109" s="25">
        <f aca="true" t="shared" si="466" ref="IM109:IM116">HQ109*100/IJ109-100</f>
        <v>-1.501328070293269</v>
      </c>
      <c r="IN109" s="25">
        <f aca="true" t="shared" si="467" ref="IN109:IN116">HS109*100/IK109-100</f>
        <v>-32.001757132101034</v>
      </c>
      <c r="IP109" s="30">
        <f>HP109*100/Italia!BR109</f>
        <v>59.86779981114259</v>
      </c>
      <c r="IQ109" s="30">
        <f>HR109*100/Italia!BT109</f>
        <v>58.64250823360775</v>
      </c>
      <c r="IR109" s="30">
        <f>HS109*100/Italia!BU109</f>
        <v>58.08064561845279</v>
      </c>
    </row>
    <row r="110" spans="1:252" ht="12">
      <c r="A110" s="1" t="s">
        <v>106</v>
      </c>
      <c r="B110" s="20">
        <v>22875</v>
      </c>
      <c r="C110" s="10">
        <v>30.3</v>
      </c>
      <c r="D110" s="11">
        <v>693900</v>
      </c>
      <c r="E110" s="9"/>
      <c r="F110" s="20">
        <v>39020</v>
      </c>
      <c r="G110" s="10">
        <v>42.4</v>
      </c>
      <c r="H110" s="11">
        <v>1642700</v>
      </c>
      <c r="I110" s="23">
        <f>F110*100/B110-100</f>
        <v>70.5792349726776</v>
      </c>
      <c r="J110" s="23">
        <f>G110*100/C110-100</f>
        <v>39.933993399339926</v>
      </c>
      <c r="K110" s="23">
        <f>H110*100/D110-100</f>
        <v>136.7343997694192</v>
      </c>
      <c r="L110" s="8"/>
      <c r="M110" s="20">
        <v>77920</v>
      </c>
      <c r="N110" s="10">
        <v>32.4</v>
      </c>
      <c r="O110" s="11">
        <v>2507800</v>
      </c>
      <c r="P110" s="23">
        <f>M110*100/F110-100</f>
        <v>99.69246540235775</v>
      </c>
      <c r="Q110" s="23">
        <f>N110*100/G110-100</f>
        <v>-23.58490566037736</v>
      </c>
      <c r="R110" s="23">
        <f>O110*100/H110-100</f>
        <v>52.6632982285262</v>
      </c>
      <c r="S110" s="8"/>
      <c r="T110" s="20">
        <v>75450</v>
      </c>
      <c r="U110" s="10">
        <f>V110/T110</f>
        <v>30.033134526176276</v>
      </c>
      <c r="V110" s="11">
        <v>2266000</v>
      </c>
      <c r="W110" s="23">
        <f>T110*100/M110-100</f>
        <v>-3.169917864476389</v>
      </c>
      <c r="X110" s="23">
        <f>U110*100/N110-100</f>
        <v>-7.305140351307784</v>
      </c>
      <c r="Y110" s="23">
        <f>V110*100/O110-100</f>
        <v>-9.641917218278977</v>
      </c>
      <c r="Z110" s="8"/>
      <c r="AA110" s="20">
        <v>58761</v>
      </c>
      <c r="AB110" s="10">
        <v>36.6</v>
      </c>
      <c r="AC110" s="11">
        <v>2136600</v>
      </c>
      <c r="AD110" s="23">
        <f>AA110*100/T110-100</f>
        <v>-22.11928429423459</v>
      </c>
      <c r="AE110" s="23">
        <f>AB110*100/U110-100</f>
        <v>21.865401588702554</v>
      </c>
      <c r="AF110" s="23">
        <f>AC110*100/V110-100</f>
        <v>-5.71050308914387</v>
      </c>
      <c r="AG110" s="8"/>
      <c r="AH110" s="20">
        <v>61772</v>
      </c>
      <c r="AI110" s="10">
        <v>35.8</v>
      </c>
      <c r="AJ110" s="11">
        <v>2191200</v>
      </c>
      <c r="AK110" s="23">
        <f>AH110*100/AA110-100</f>
        <v>5.1241469682272225</v>
      </c>
      <c r="AL110" s="23">
        <f>AI110*100/AB110-100</f>
        <v>-2.185792349726796</v>
      </c>
      <c r="AM110" s="23">
        <f>AJ110*100/AC110-100</f>
        <v>2.555461948890766</v>
      </c>
      <c r="AN110" s="8"/>
      <c r="AO110" s="20">
        <v>52961</v>
      </c>
      <c r="AP110" s="10">
        <v>34.3</v>
      </c>
      <c r="AQ110" s="11">
        <v>1756600</v>
      </c>
      <c r="AR110" s="23">
        <f>AO110*100/AH110-100</f>
        <v>-14.26374409117399</v>
      </c>
      <c r="AS110" s="23">
        <f>AP110*100/AI110-100</f>
        <v>-4.1899441340782175</v>
      </c>
      <c r="AT110" s="23">
        <f>AQ110*100/AJ110-100</f>
        <v>-19.83388097845929</v>
      </c>
      <c r="AU110" s="8"/>
      <c r="AV110" s="20">
        <v>42990</v>
      </c>
      <c r="AW110" s="10">
        <v>33.7</v>
      </c>
      <c r="AX110" s="11">
        <v>1436109</v>
      </c>
      <c r="AY110" s="23">
        <f t="shared" si="430"/>
        <v>-18.827061422556227</v>
      </c>
      <c r="AZ110" s="23">
        <f>AW110*100/AP110-100</f>
        <v>-1.7492711370262128</v>
      </c>
      <c r="BA110" s="23">
        <f t="shared" si="431"/>
        <v>-18.244961858135028</v>
      </c>
      <c r="BB110" s="8"/>
      <c r="BC110" s="20">
        <v>24015</v>
      </c>
      <c r="BD110" s="10">
        <v>37.1</v>
      </c>
      <c r="BE110" s="11">
        <v>874121</v>
      </c>
      <c r="BF110" s="23">
        <f t="shared" si="432"/>
        <v>-44.13817166782973</v>
      </c>
      <c r="BG110" s="23">
        <f>BD110*100/AW110-100</f>
        <v>10.089020771513347</v>
      </c>
      <c r="BH110" s="23">
        <f t="shared" si="433"/>
        <v>-39.1326842182592</v>
      </c>
      <c r="BI110" s="8"/>
      <c r="BJ110" s="20">
        <v>29520</v>
      </c>
      <c r="BK110" s="10">
        <v>35.29</v>
      </c>
      <c r="BL110" s="11">
        <v>1039279</v>
      </c>
      <c r="BM110" s="23">
        <f t="shared" si="434"/>
        <v>22.923173016864453</v>
      </c>
      <c r="BN110" s="23">
        <f>BK110*100/BD110-100</f>
        <v>-4.878706199460922</v>
      </c>
      <c r="BO110" s="23">
        <f t="shared" si="435"/>
        <v>18.894180553950775</v>
      </c>
      <c r="BP110" s="8"/>
      <c r="BQ110" s="20">
        <v>32610</v>
      </c>
      <c r="BR110" s="10">
        <v>39.3</v>
      </c>
      <c r="BS110" s="11">
        <v>1271961</v>
      </c>
      <c r="BT110" s="23">
        <f t="shared" si="436"/>
        <v>10.46747967479675</v>
      </c>
      <c r="BU110" s="23">
        <f>BR110*100/BK110-100</f>
        <v>11.362992349107387</v>
      </c>
      <c r="BV110" s="23">
        <f t="shared" si="437"/>
        <v>22.388790690469065</v>
      </c>
      <c r="BW110" s="8"/>
      <c r="BX110" s="20">
        <v>42320</v>
      </c>
      <c r="BY110" s="10">
        <v>35.2</v>
      </c>
      <c r="BZ110" s="11">
        <v>1425156</v>
      </c>
      <c r="CA110" s="23">
        <f t="shared" si="438"/>
        <v>29.776142287641818</v>
      </c>
      <c r="CB110" s="23">
        <f t="shared" si="448"/>
        <v>-10.432569974554696</v>
      </c>
      <c r="CC110" s="23">
        <f t="shared" si="439"/>
        <v>12.044001349097968</v>
      </c>
      <c r="CD110" s="8"/>
      <c r="CE110" s="20">
        <v>54376</v>
      </c>
      <c r="CF110" s="10">
        <v>37.2</v>
      </c>
      <c r="CG110" s="11">
        <v>2006606</v>
      </c>
      <c r="CH110" s="23">
        <f t="shared" si="440"/>
        <v>28.487712665406434</v>
      </c>
      <c r="CI110" s="23">
        <f t="shared" si="449"/>
        <v>5.681818181818187</v>
      </c>
      <c r="CJ110" s="23">
        <f t="shared" si="441"/>
        <v>40.79904235045146</v>
      </c>
      <c r="CK110" s="8"/>
      <c r="CL110" s="20">
        <v>60980</v>
      </c>
      <c r="CM110" s="10">
        <v>35.1</v>
      </c>
      <c r="CN110" s="11">
        <v>2114906</v>
      </c>
      <c r="CO110" s="23">
        <f t="shared" si="442"/>
        <v>12.145063998823005</v>
      </c>
      <c r="CP110" s="23">
        <f t="shared" si="450"/>
        <v>-5.645161290322591</v>
      </c>
      <c r="CQ110" s="23">
        <f t="shared" si="443"/>
        <v>5.397173137128064</v>
      </c>
      <c r="CR110" s="8"/>
      <c r="CS110" s="20">
        <v>37000</v>
      </c>
      <c r="CT110" s="10">
        <v>32.8</v>
      </c>
      <c r="CU110" s="11">
        <v>1214850</v>
      </c>
      <c r="CV110" s="23">
        <f t="shared" si="394"/>
        <v>-39.324368645457525</v>
      </c>
      <c r="CW110" s="23">
        <f t="shared" si="451"/>
        <v>-6.552706552706567</v>
      </c>
      <c r="CX110" s="23">
        <f t="shared" si="395"/>
        <v>-42.557730698196515</v>
      </c>
      <c r="CY110" s="8"/>
      <c r="CZ110" s="20">
        <v>38780</v>
      </c>
      <c r="DA110" s="10">
        <v>38.2</v>
      </c>
      <c r="DB110" s="11">
        <v>1478930</v>
      </c>
      <c r="DC110" s="23">
        <f t="shared" si="396"/>
        <v>4.810810810810807</v>
      </c>
      <c r="DD110" s="23">
        <f t="shared" si="452"/>
        <v>16.46341463414636</v>
      </c>
      <c r="DE110" s="23">
        <f t="shared" si="397"/>
        <v>21.737663085977687</v>
      </c>
      <c r="DF110" s="8"/>
      <c r="DG110" s="20">
        <v>37450</v>
      </c>
      <c r="DH110" s="10">
        <v>39.8</v>
      </c>
      <c r="DI110" s="11">
        <v>1491080</v>
      </c>
      <c r="DJ110" s="23">
        <f t="shared" si="398"/>
        <v>-3.4296028880866487</v>
      </c>
      <c r="DK110" s="23">
        <f t="shared" si="453"/>
        <v>4.1884816753926515</v>
      </c>
      <c r="DL110" s="23">
        <f t="shared" si="399"/>
        <v>0.8215398970877601</v>
      </c>
      <c r="DM110" s="8"/>
      <c r="DN110" s="20">
        <v>17726</v>
      </c>
      <c r="DO110" s="10">
        <v>42.1</v>
      </c>
      <c r="DP110" s="11">
        <v>746423</v>
      </c>
      <c r="DQ110" s="23">
        <f t="shared" si="400"/>
        <v>-52.6675567423231</v>
      </c>
      <c r="DR110" s="23">
        <f t="shared" si="454"/>
        <v>5.778894472361813</v>
      </c>
      <c r="DS110" s="23">
        <f t="shared" si="401"/>
        <v>-49.940781178742924</v>
      </c>
      <c r="DT110" s="8"/>
      <c r="DU110" s="20">
        <v>15990</v>
      </c>
      <c r="DV110" s="10">
        <v>27.4</v>
      </c>
      <c r="DW110" s="11">
        <v>434291</v>
      </c>
      <c r="DX110" s="23">
        <f t="shared" si="402"/>
        <v>-9.79352363759449</v>
      </c>
      <c r="DY110" s="23">
        <f t="shared" si="455"/>
        <v>-34.91686460807601</v>
      </c>
      <c r="DZ110" s="23">
        <f t="shared" si="403"/>
        <v>-41.81703939991131</v>
      </c>
      <c r="EA110" s="8"/>
      <c r="EB110" s="20">
        <v>17805</v>
      </c>
      <c r="EC110" s="10">
        <v>34.7</v>
      </c>
      <c r="ED110" s="11">
        <v>617201</v>
      </c>
      <c r="EE110" s="23">
        <f t="shared" si="404"/>
        <v>11.350844277673545</v>
      </c>
      <c r="EF110" s="23">
        <f t="shared" si="456"/>
        <v>26.642335766423386</v>
      </c>
      <c r="EG110" s="23">
        <f t="shared" si="405"/>
        <v>42.1169216032568</v>
      </c>
      <c r="EH110" s="8"/>
      <c r="EI110" s="20">
        <v>18722</v>
      </c>
      <c r="EJ110" s="10">
        <v>39.1</v>
      </c>
      <c r="EK110" s="11">
        <v>731626</v>
      </c>
      <c r="EL110" s="23">
        <f t="shared" si="444"/>
        <v>5.150238696995231</v>
      </c>
      <c r="EM110" s="23">
        <f t="shared" si="457"/>
        <v>12.6801152737752</v>
      </c>
      <c r="EN110" s="23">
        <f t="shared" si="445"/>
        <v>18.539341316686134</v>
      </c>
      <c r="EO110" s="8"/>
      <c r="EP110" s="20">
        <v>34610</v>
      </c>
      <c r="EQ110" s="10">
        <v>24</v>
      </c>
      <c r="ER110" s="11">
        <v>829420</v>
      </c>
      <c r="ES110" s="23">
        <f t="shared" si="446"/>
        <v>84.86272834098921</v>
      </c>
      <c r="ET110" s="23">
        <f t="shared" si="458"/>
        <v>-38.61892583120205</v>
      </c>
      <c r="EU110" s="23">
        <f t="shared" si="447"/>
        <v>13.366665482090582</v>
      </c>
      <c r="EV110" s="8"/>
      <c r="EW110" s="20">
        <v>16978</v>
      </c>
      <c r="EX110" s="10">
        <f t="shared" si="377"/>
        <v>22.73353751914242</v>
      </c>
      <c r="EY110" s="11">
        <v>385970</v>
      </c>
      <c r="EZ110" s="11">
        <v>385970</v>
      </c>
      <c r="FA110" s="23">
        <f t="shared" si="426"/>
        <v>-50.94481363767697</v>
      </c>
      <c r="FB110" s="23">
        <f t="shared" si="459"/>
        <v>-5.276927003573249</v>
      </c>
      <c r="FC110" s="23">
        <f t="shared" si="427"/>
        <v>-53.46507197800873</v>
      </c>
      <c r="FD110" s="8"/>
      <c r="FE110" s="20">
        <v>12100</v>
      </c>
      <c r="FF110" s="10">
        <f>FG110/FE110</f>
        <v>30.893388429752065</v>
      </c>
      <c r="FG110" s="11">
        <v>373810</v>
      </c>
      <c r="FH110" s="11">
        <v>373810</v>
      </c>
      <c r="FI110" s="23">
        <f t="shared" si="428"/>
        <v>-28.731299328542818</v>
      </c>
      <c r="FJ110" s="23">
        <f t="shared" si="460"/>
        <v>35.89344994697271</v>
      </c>
      <c r="FK110" s="23">
        <f t="shared" si="460"/>
        <v>-3.150503925175528</v>
      </c>
      <c r="FL110" s="23">
        <f t="shared" si="429"/>
        <v>-3.150503925175528</v>
      </c>
      <c r="FM110" s="23"/>
      <c r="FN110" s="20">
        <v>19417</v>
      </c>
      <c r="FO110" s="10">
        <f>FP110/FN110</f>
        <v>32.800638615646086</v>
      </c>
      <c r="FP110" s="11">
        <v>636890</v>
      </c>
      <c r="FQ110" s="11">
        <v>636890</v>
      </c>
      <c r="FR110" s="23">
        <f t="shared" si="461"/>
        <v>60.47107438016528</v>
      </c>
      <c r="FS110" s="23">
        <f t="shared" si="461"/>
        <v>6.17365165440134</v>
      </c>
      <c r="FT110" s="23">
        <f t="shared" si="368"/>
        <v>70.37799951847194</v>
      </c>
      <c r="FU110" s="23">
        <f t="shared" si="368"/>
        <v>70.37799951847194</v>
      </c>
      <c r="FV110" s="23"/>
      <c r="FW110" s="20">
        <v>22961</v>
      </c>
      <c r="FX110" s="10">
        <f>FY110/FW110</f>
        <v>37.3932755542006</v>
      </c>
      <c r="FY110" s="20">
        <v>858587</v>
      </c>
      <c r="FZ110" s="20">
        <v>858395</v>
      </c>
      <c r="GA110" s="23">
        <f t="shared" si="462"/>
        <v>18.252047175155795</v>
      </c>
      <c r="GB110" s="23">
        <f t="shared" si="462"/>
        <v>14.001669273487252</v>
      </c>
      <c r="GC110" s="23">
        <f t="shared" si="462"/>
        <v>34.809307729749264</v>
      </c>
      <c r="GD110" s="23">
        <f t="shared" si="462"/>
        <v>34.77916123663428</v>
      </c>
      <c r="GE110" s="23"/>
      <c r="GF110" s="20">
        <v>24351</v>
      </c>
      <c r="GG110" s="10">
        <f>GH110/GF110</f>
        <v>31.288407046938524</v>
      </c>
      <c r="GH110" s="20">
        <v>761904</v>
      </c>
      <c r="GI110" s="20">
        <v>761904</v>
      </c>
      <c r="GJ110" s="23">
        <f t="shared" si="300"/>
        <v>6.053743303863072</v>
      </c>
      <c r="GK110" s="23">
        <f t="shared" si="300"/>
        <v>-16.326113229672075</v>
      </c>
      <c r="GL110" s="23">
        <f t="shared" si="363"/>
        <v>-11.260710912231374</v>
      </c>
      <c r="GM110" s="23">
        <f t="shared" si="363"/>
        <v>-11.240862306979892</v>
      </c>
      <c r="GN110" s="23"/>
      <c r="GO110" s="20">
        <v>15130</v>
      </c>
      <c r="GP110" s="10">
        <f>GQ110/GO110</f>
        <v>18.650363516192993</v>
      </c>
      <c r="GQ110" s="20">
        <v>282180</v>
      </c>
      <c r="GR110" s="20">
        <v>282180</v>
      </c>
      <c r="GS110" s="23">
        <f t="shared" si="301"/>
        <v>-37.86702804812944</v>
      </c>
      <c r="GT110" s="23">
        <f t="shared" si="301"/>
        <v>-40.392096381851836</v>
      </c>
      <c r="GU110" s="23">
        <f t="shared" si="364"/>
        <v>-62.96383796383796</v>
      </c>
      <c r="GV110" s="23">
        <f t="shared" si="365"/>
        <v>-62.96383796383796</v>
      </c>
      <c r="GW110" s="23"/>
      <c r="GX110" s="20">
        <v>20993</v>
      </c>
      <c r="GY110" s="10">
        <f>GZ110/GX110</f>
        <v>32.490925546610775</v>
      </c>
      <c r="GZ110" s="20">
        <v>682082</v>
      </c>
      <c r="HA110" s="20">
        <v>682082</v>
      </c>
      <c r="HB110" s="23">
        <f t="shared" si="302"/>
        <v>38.750826173165905</v>
      </c>
      <c r="HC110" s="23">
        <f>GY110*100/GP110-100</f>
        <v>74.21068237303177</v>
      </c>
      <c r="HD110" s="23">
        <f t="shared" si="366"/>
        <v>141.71876107449145</v>
      </c>
      <c r="HE110" s="23">
        <f t="shared" si="367"/>
        <v>141.71876107449145</v>
      </c>
      <c r="HF110" s="23"/>
      <c r="HG110" s="20">
        <v>25251</v>
      </c>
      <c r="HH110" s="10">
        <f>HI110/HG110</f>
        <v>44.05619579422597</v>
      </c>
      <c r="HI110" s="20">
        <v>1112463</v>
      </c>
      <c r="HJ110" s="20">
        <v>1112423</v>
      </c>
      <c r="HK110" s="23">
        <f t="shared" si="304"/>
        <v>20.28295146001048</v>
      </c>
      <c r="HL110" s="23">
        <f>HH110*100/GY110-100</f>
        <v>35.59538564398207</v>
      </c>
      <c r="HM110" s="23">
        <f t="shared" si="375"/>
        <v>63.09813189616497</v>
      </c>
      <c r="HN110" s="23">
        <f t="shared" si="376"/>
        <v>63.092267498629184</v>
      </c>
      <c r="HO110" s="23"/>
      <c r="HP110" s="20">
        <v>37728</v>
      </c>
      <c r="HQ110" s="10">
        <f t="shared" si="463"/>
        <v>28.449215436810857</v>
      </c>
      <c r="HR110" s="20">
        <v>1073332</v>
      </c>
      <c r="HS110" s="20">
        <v>1073332</v>
      </c>
      <c r="HT110" s="23">
        <f t="shared" si="306"/>
        <v>49.41190447903054</v>
      </c>
      <c r="HU110" s="23">
        <f t="shared" si="464"/>
        <v>-35.42516569136134</v>
      </c>
      <c r="HV110" s="23">
        <f t="shared" si="370"/>
        <v>-3.5175102452845692</v>
      </c>
      <c r="HW110" s="23">
        <f t="shared" si="371"/>
        <v>-3.5140409718245706</v>
      </c>
      <c r="HX110" s="23"/>
      <c r="HY110" s="20">
        <v>43443</v>
      </c>
      <c r="HZ110" s="10">
        <f>IA110/HY110</f>
        <v>36.29332688810626</v>
      </c>
      <c r="IA110" s="20">
        <v>1576691</v>
      </c>
      <c r="IB110" s="20">
        <v>1576691</v>
      </c>
      <c r="IC110" s="23">
        <f t="shared" si="407"/>
        <v>15.147900763358777</v>
      </c>
      <c r="ID110" s="23">
        <f>HZ110*100/HQ110-100</f>
        <v>27.572329608590152</v>
      </c>
      <c r="IE110" s="23">
        <f t="shared" si="408"/>
        <v>46.89685949920434</v>
      </c>
      <c r="IF110" s="23">
        <f t="shared" si="409"/>
        <v>46.89685949920434</v>
      </c>
      <c r="IG110" s="23"/>
      <c r="IH110" s="1" t="s">
        <v>106</v>
      </c>
      <c r="II110" s="29">
        <f t="shared" si="386"/>
        <v>21051.3</v>
      </c>
      <c r="IJ110" s="30">
        <f t="shared" si="387"/>
        <v>31.340673202270942</v>
      </c>
      <c r="IK110" s="29">
        <f t="shared" si="388"/>
        <v>665470</v>
      </c>
      <c r="IL110" s="25">
        <f t="shared" si="465"/>
        <v>79.21933562297815</v>
      </c>
      <c r="IM110" s="25">
        <f t="shared" si="466"/>
        <v>-9.225895521767455</v>
      </c>
      <c r="IN110" s="25">
        <f t="shared" si="467"/>
        <v>61.28931431920296</v>
      </c>
      <c r="IP110" s="30">
        <f>HP110*100/Italia!BR110</f>
        <v>12.210538580291864</v>
      </c>
      <c r="IQ110" s="30">
        <f>HR110*100/Italia!BT110</f>
        <v>9.434165585984585</v>
      </c>
      <c r="IR110" s="30">
        <f>HS110*100/Italia!BU110</f>
        <v>9.609213970393975</v>
      </c>
    </row>
    <row r="111" spans="1:252" ht="12">
      <c r="A111" s="1" t="s">
        <v>107</v>
      </c>
      <c r="B111" s="20">
        <v>1178</v>
      </c>
      <c r="C111" s="10">
        <f>D111/B111</f>
        <v>22.32597623089983</v>
      </c>
      <c r="D111" s="11">
        <v>26300</v>
      </c>
      <c r="E111" s="9"/>
      <c r="F111" s="20">
        <v>1955</v>
      </c>
      <c r="G111" s="10">
        <v>30.9</v>
      </c>
      <c r="H111" s="11">
        <v>60400</v>
      </c>
      <c r="I111" s="23">
        <f>F111*100/B111-100</f>
        <v>65.95925297113752</v>
      </c>
      <c r="J111" s="23">
        <f>G111*100/C111-100</f>
        <v>38.403802281368826</v>
      </c>
      <c r="K111" s="23">
        <f>H111*100/D111-100</f>
        <v>129.65779467680608</v>
      </c>
      <c r="L111" s="8"/>
      <c r="M111" s="20">
        <v>2793</v>
      </c>
      <c r="N111" s="10">
        <f>79740/M111</f>
        <v>28.549946294307198</v>
      </c>
      <c r="O111" s="11">
        <v>79500</v>
      </c>
      <c r="P111" s="23">
        <f>M111*100/F111-100</f>
        <v>42.864450127877234</v>
      </c>
      <c r="Q111" s="23">
        <f>N111*100/G111-100</f>
        <v>-7.605351798358583</v>
      </c>
      <c r="R111" s="23">
        <f>O111*100/H111-100</f>
        <v>31.6225165562914</v>
      </c>
      <c r="S111" s="8"/>
      <c r="T111" s="20">
        <v>2426</v>
      </c>
      <c r="U111" s="10">
        <v>28.2</v>
      </c>
      <c r="V111" s="11">
        <v>68400</v>
      </c>
      <c r="W111" s="23">
        <f>T111*100/M111-100</f>
        <v>-13.13999283924096</v>
      </c>
      <c r="X111" s="23">
        <f>U111*100/N111-100</f>
        <v>-1.22573363431151</v>
      </c>
      <c r="Y111" s="23">
        <f>V111*100/O111-100</f>
        <v>-13.962264150943398</v>
      </c>
      <c r="Z111" s="8"/>
      <c r="AA111" s="20">
        <v>2126</v>
      </c>
      <c r="AB111" s="10">
        <v>27.5</v>
      </c>
      <c r="AC111" s="11">
        <v>58400</v>
      </c>
      <c r="AD111" s="23">
        <f>AA111*100/T111-100</f>
        <v>-12.366034624896955</v>
      </c>
      <c r="AE111" s="23">
        <f>AB111*100/U111-100</f>
        <v>-2.4822695035460924</v>
      </c>
      <c r="AF111" s="23">
        <f>AC111*100/V111-100</f>
        <v>-14.619883040935676</v>
      </c>
      <c r="AG111" s="8"/>
      <c r="AH111" s="20">
        <v>1965</v>
      </c>
      <c r="AI111" s="10">
        <v>29.9</v>
      </c>
      <c r="AJ111" s="11">
        <v>58700</v>
      </c>
      <c r="AK111" s="23">
        <f>AH111*100/AA111-100</f>
        <v>-7.5729068673565365</v>
      </c>
      <c r="AL111" s="23">
        <f>AI111*100/AB111-100</f>
        <v>8.727272727272734</v>
      </c>
      <c r="AM111" s="23">
        <f>AJ111*100/AC111-100</f>
        <v>0.5136986301369859</v>
      </c>
      <c r="AN111" s="8"/>
      <c r="AO111" s="20">
        <v>2264</v>
      </c>
      <c r="AP111" s="10">
        <v>29.5</v>
      </c>
      <c r="AQ111" s="11">
        <v>65239</v>
      </c>
      <c r="AR111" s="23">
        <f>AO111*100/AH111-100</f>
        <v>15.216284987277348</v>
      </c>
      <c r="AS111" s="23">
        <f>AP111*100/AI111-100</f>
        <v>-1.3377926421404567</v>
      </c>
      <c r="AT111" s="23">
        <f>AQ111*100/AJ111-100</f>
        <v>11.139693356047701</v>
      </c>
      <c r="AU111" s="8"/>
      <c r="AV111" s="20">
        <v>2635</v>
      </c>
      <c r="AW111" s="10">
        <v>27.5</v>
      </c>
      <c r="AX111" s="11">
        <v>72468</v>
      </c>
      <c r="AY111" s="23">
        <f t="shared" si="430"/>
        <v>16.386925795053003</v>
      </c>
      <c r="AZ111" s="23">
        <f>AW111*100/AP111-100</f>
        <v>-6.779661016949149</v>
      </c>
      <c r="BA111" s="23">
        <f t="shared" si="431"/>
        <v>11.080795229847183</v>
      </c>
      <c r="BB111" s="8"/>
      <c r="BC111" s="20">
        <v>5580</v>
      </c>
      <c r="BD111" s="10">
        <v>32</v>
      </c>
      <c r="BE111" s="11">
        <v>178418</v>
      </c>
      <c r="BF111" s="23">
        <f t="shared" si="432"/>
        <v>111.76470588235293</v>
      </c>
      <c r="BG111" s="23">
        <f>BD111*100/AW111-100</f>
        <v>16.36363636363636</v>
      </c>
      <c r="BH111" s="23">
        <f t="shared" si="433"/>
        <v>146.20246177623227</v>
      </c>
      <c r="BI111" s="8"/>
      <c r="BJ111" s="20">
        <v>18344</v>
      </c>
      <c r="BK111" s="10">
        <v>27.7</v>
      </c>
      <c r="BL111" s="11">
        <v>507803</v>
      </c>
      <c r="BM111" s="23">
        <f t="shared" si="434"/>
        <v>228.74551971326167</v>
      </c>
      <c r="BN111" s="23">
        <f>BK111*100/BD111-100</f>
        <v>-13.4375</v>
      </c>
      <c r="BO111" s="23">
        <f t="shared" si="435"/>
        <v>184.61422053828647</v>
      </c>
      <c r="BP111" s="8"/>
      <c r="BQ111" s="20">
        <v>12490</v>
      </c>
      <c r="BR111" s="10">
        <v>26.5</v>
      </c>
      <c r="BS111" s="11">
        <v>328556</v>
      </c>
      <c r="BT111" s="23">
        <f t="shared" si="436"/>
        <v>-31.91234191016136</v>
      </c>
      <c r="BU111" s="23">
        <f>BR111*100/BK111-100</f>
        <v>-4.3321299638989075</v>
      </c>
      <c r="BV111" s="23">
        <f t="shared" si="437"/>
        <v>-35.29853112328993</v>
      </c>
      <c r="BW111" s="8"/>
      <c r="BX111" s="20">
        <v>11150</v>
      </c>
      <c r="BY111" s="10">
        <v>27.4</v>
      </c>
      <c r="BZ111" s="11">
        <v>285743</v>
      </c>
      <c r="CA111" s="23">
        <f t="shared" si="438"/>
        <v>-10.728582866293038</v>
      </c>
      <c r="CB111" s="23">
        <f t="shared" si="448"/>
        <v>3.3962264150943327</v>
      </c>
      <c r="CC111" s="23">
        <f t="shared" si="439"/>
        <v>-13.030655352512198</v>
      </c>
      <c r="CD111" s="8"/>
      <c r="CE111" s="20">
        <v>8305</v>
      </c>
      <c r="CF111" s="10">
        <v>26.9</v>
      </c>
      <c r="CG111" s="11">
        <v>219322</v>
      </c>
      <c r="CH111" s="23">
        <f t="shared" si="440"/>
        <v>-25.515695067264573</v>
      </c>
      <c r="CI111" s="23">
        <f t="shared" si="449"/>
        <v>-1.8248175182481674</v>
      </c>
      <c r="CJ111" s="23">
        <f t="shared" si="441"/>
        <v>-23.245013876105446</v>
      </c>
      <c r="CK111" s="8"/>
      <c r="CL111" s="20">
        <v>7772</v>
      </c>
      <c r="CM111" s="10">
        <v>24.4</v>
      </c>
      <c r="CN111" s="11">
        <v>180542</v>
      </c>
      <c r="CO111" s="23">
        <f t="shared" si="442"/>
        <v>-6.417820590006016</v>
      </c>
      <c r="CP111" s="23">
        <f t="shared" si="450"/>
        <v>-9.29368029739777</v>
      </c>
      <c r="CQ111" s="23">
        <f t="shared" si="443"/>
        <v>-17.681764711246473</v>
      </c>
      <c r="CR111" s="8"/>
      <c r="CS111" s="20">
        <v>6378</v>
      </c>
      <c r="CT111" s="10">
        <v>26.3</v>
      </c>
      <c r="CU111" s="11">
        <v>167982</v>
      </c>
      <c r="CV111" s="23">
        <f t="shared" si="394"/>
        <v>-17.93618116314977</v>
      </c>
      <c r="CW111" s="23">
        <f t="shared" si="451"/>
        <v>7.786885245901644</v>
      </c>
      <c r="CX111" s="23">
        <f t="shared" si="395"/>
        <v>-6.956829989697681</v>
      </c>
      <c r="CY111" s="8"/>
      <c r="CZ111" s="20">
        <v>7190</v>
      </c>
      <c r="DA111" s="10">
        <v>28.8</v>
      </c>
      <c r="DB111" s="11">
        <v>207250</v>
      </c>
      <c r="DC111" s="23">
        <f t="shared" si="396"/>
        <v>12.731263719034175</v>
      </c>
      <c r="DD111" s="23">
        <f t="shared" si="452"/>
        <v>9.50570342205323</v>
      </c>
      <c r="DE111" s="23">
        <f t="shared" si="397"/>
        <v>23.376314128894762</v>
      </c>
      <c r="DF111" s="8"/>
      <c r="DG111" s="20">
        <v>7985</v>
      </c>
      <c r="DH111" s="10">
        <v>27.3</v>
      </c>
      <c r="DI111" s="11">
        <v>216865</v>
      </c>
      <c r="DJ111" s="23">
        <f t="shared" si="398"/>
        <v>11.057023643949933</v>
      </c>
      <c r="DK111" s="23">
        <f t="shared" si="453"/>
        <v>-5.208333333333329</v>
      </c>
      <c r="DL111" s="23">
        <f t="shared" si="399"/>
        <v>4.639324487334136</v>
      </c>
      <c r="DM111" s="8"/>
      <c r="DN111" s="20">
        <v>7983</v>
      </c>
      <c r="DO111" s="10">
        <v>27.2</v>
      </c>
      <c r="DP111" s="11">
        <v>213580</v>
      </c>
      <c r="DQ111" s="23">
        <f t="shared" si="400"/>
        <v>-0.025046963055729066</v>
      </c>
      <c r="DR111" s="23">
        <f t="shared" si="454"/>
        <v>-0.366300366300365</v>
      </c>
      <c r="DS111" s="23">
        <f t="shared" si="401"/>
        <v>-1.51476725151592</v>
      </c>
      <c r="DT111" s="8"/>
      <c r="DU111" s="20">
        <v>8196</v>
      </c>
      <c r="DV111" s="10">
        <v>20.7</v>
      </c>
      <c r="DW111" s="11">
        <v>165950</v>
      </c>
      <c r="DX111" s="23">
        <f t="shared" si="402"/>
        <v>2.668169860954535</v>
      </c>
      <c r="DY111" s="23">
        <f t="shared" si="455"/>
        <v>-23.897058823529406</v>
      </c>
      <c r="DZ111" s="23">
        <f t="shared" si="403"/>
        <v>-22.30077722633206</v>
      </c>
      <c r="EA111" s="8"/>
      <c r="EB111" s="20">
        <v>5281</v>
      </c>
      <c r="EC111" s="10">
        <v>29.4</v>
      </c>
      <c r="ED111" s="11">
        <v>155038</v>
      </c>
      <c r="EE111" s="23">
        <f t="shared" si="404"/>
        <v>-35.566129819424106</v>
      </c>
      <c r="EF111" s="23">
        <f t="shared" si="456"/>
        <v>42.028985507246375</v>
      </c>
      <c r="EG111" s="23">
        <f t="shared" si="405"/>
        <v>-6.5754745405242545</v>
      </c>
      <c r="EH111" s="8"/>
      <c r="EI111" s="20">
        <v>6423</v>
      </c>
      <c r="EJ111" s="10">
        <v>29.8</v>
      </c>
      <c r="EK111" s="11">
        <v>183404</v>
      </c>
      <c r="EL111" s="23">
        <f t="shared" si="444"/>
        <v>21.6246922931263</v>
      </c>
      <c r="EM111" s="23">
        <f t="shared" si="457"/>
        <v>1.3605442176870781</v>
      </c>
      <c r="EN111" s="23">
        <f t="shared" si="445"/>
        <v>18.296159651182293</v>
      </c>
      <c r="EO111" s="8"/>
      <c r="EP111" s="20">
        <v>11230</v>
      </c>
      <c r="EQ111" s="10">
        <v>25.2</v>
      </c>
      <c r="ER111" s="11">
        <v>282500</v>
      </c>
      <c r="ES111" s="23">
        <f t="shared" si="446"/>
        <v>74.840417250506</v>
      </c>
      <c r="ET111" s="23">
        <f t="shared" si="458"/>
        <v>-15.43624161073825</v>
      </c>
      <c r="EU111" s="23">
        <f t="shared" si="447"/>
        <v>54.03153693485419</v>
      </c>
      <c r="EV111" s="8"/>
      <c r="EW111" s="20">
        <v>7038</v>
      </c>
      <c r="EX111" s="10">
        <f t="shared" si="377"/>
        <v>26.805910770105143</v>
      </c>
      <c r="EY111" s="11">
        <v>188660</v>
      </c>
      <c r="EZ111" s="11">
        <v>188660</v>
      </c>
      <c r="FA111" s="23">
        <f t="shared" si="426"/>
        <v>-37.32858414959929</v>
      </c>
      <c r="FB111" s="23">
        <f t="shared" si="459"/>
        <v>6.372661786131516</v>
      </c>
      <c r="FC111" s="23">
        <f t="shared" si="427"/>
        <v>-33.217699115044255</v>
      </c>
      <c r="FD111" s="8"/>
      <c r="FE111" s="20">
        <v>5212</v>
      </c>
      <c r="FF111" s="10">
        <f>FG111/FE111</f>
        <v>30.729086722947045</v>
      </c>
      <c r="FG111" s="11">
        <v>160160</v>
      </c>
      <c r="FH111" s="11">
        <v>160160</v>
      </c>
      <c r="FI111" s="23">
        <f t="shared" si="428"/>
        <v>-25.94487070190395</v>
      </c>
      <c r="FJ111" s="23">
        <f t="shared" si="460"/>
        <v>14.635488368547286</v>
      </c>
      <c r="FK111" s="23">
        <f t="shared" si="460"/>
        <v>-15.106540867168448</v>
      </c>
      <c r="FL111" s="23">
        <f t="shared" si="429"/>
        <v>-15.106540867168448</v>
      </c>
      <c r="FM111" s="23"/>
      <c r="FN111" s="20">
        <v>5023</v>
      </c>
      <c r="FO111" s="10">
        <f>FP111/FN111</f>
        <v>27.68265976508063</v>
      </c>
      <c r="FP111" s="11">
        <v>139050</v>
      </c>
      <c r="FQ111" s="11">
        <v>138222</v>
      </c>
      <c r="FR111" s="23">
        <f t="shared" si="461"/>
        <v>-3.6262471220261006</v>
      </c>
      <c r="FS111" s="23">
        <f t="shared" si="461"/>
        <v>-9.91382199325659</v>
      </c>
      <c r="FT111" s="23">
        <f t="shared" si="368"/>
        <v>-13.180569430569435</v>
      </c>
      <c r="FU111" s="23">
        <f t="shared" si="368"/>
        <v>-13.697552447552454</v>
      </c>
      <c r="FV111" s="23"/>
      <c r="FW111" s="20">
        <v>5274</v>
      </c>
      <c r="FX111" s="10">
        <f>FY111/FW111</f>
        <v>32.13215775502465</v>
      </c>
      <c r="FY111" s="20">
        <v>169465</v>
      </c>
      <c r="FZ111" s="20">
        <v>169465</v>
      </c>
      <c r="GA111" s="23">
        <f t="shared" si="462"/>
        <v>4.997013736810672</v>
      </c>
      <c r="GB111" s="23">
        <f t="shared" si="462"/>
        <v>16.07323150196966</v>
      </c>
      <c r="GC111" s="23">
        <f t="shared" si="462"/>
        <v>21.87342682488314</v>
      </c>
      <c r="GD111" s="23">
        <f t="shared" si="462"/>
        <v>22.603492931660668</v>
      </c>
      <c r="GE111" s="23"/>
      <c r="GF111" s="20">
        <v>5939</v>
      </c>
      <c r="GG111" s="10">
        <f>GH111/GF111</f>
        <v>28.337262165347703</v>
      </c>
      <c r="GH111" s="20">
        <v>168295</v>
      </c>
      <c r="GI111" s="20">
        <v>168295</v>
      </c>
      <c r="GJ111" s="23">
        <f t="shared" si="300"/>
        <v>12.609025407660226</v>
      </c>
      <c r="GK111" s="23">
        <f t="shared" si="300"/>
        <v>-11.810273118317184</v>
      </c>
      <c r="GL111" s="23">
        <f t="shared" si="363"/>
        <v>-0.690408048859652</v>
      </c>
      <c r="GM111" s="23">
        <f t="shared" si="363"/>
        <v>-0.690408048859652</v>
      </c>
      <c r="GN111" s="23"/>
      <c r="GO111" s="20">
        <v>4782</v>
      </c>
      <c r="GP111" s="10">
        <f>GQ111/GO111</f>
        <v>19.476369719782518</v>
      </c>
      <c r="GQ111" s="20">
        <v>93136</v>
      </c>
      <c r="GR111" s="20">
        <v>92511</v>
      </c>
      <c r="GS111" s="23">
        <f t="shared" si="301"/>
        <v>-19.481394174103386</v>
      </c>
      <c r="GT111" s="23">
        <f t="shared" si="301"/>
        <v>-31.269402082184044</v>
      </c>
      <c r="GU111" s="23">
        <f t="shared" si="364"/>
        <v>-44.65908078077186</v>
      </c>
      <c r="GV111" s="23">
        <f t="shared" si="365"/>
        <v>-45.03045247927746</v>
      </c>
      <c r="GW111" s="23"/>
      <c r="GX111" s="20">
        <v>5360</v>
      </c>
      <c r="GY111" s="10">
        <f>GZ111/GX111</f>
        <v>28.731716417910448</v>
      </c>
      <c r="GZ111" s="20">
        <v>154002</v>
      </c>
      <c r="HA111" s="20">
        <v>153482</v>
      </c>
      <c r="HB111" s="23">
        <f t="shared" si="302"/>
        <v>12.086992890004183</v>
      </c>
      <c r="HC111" s="23">
        <f>GY111*100/GP111-100</f>
        <v>47.52090266969566</v>
      </c>
      <c r="HD111" s="23">
        <f t="shared" si="366"/>
        <v>65.35174368665179</v>
      </c>
      <c r="HE111" s="23">
        <f t="shared" si="367"/>
        <v>65.90675703429864</v>
      </c>
      <c r="HF111" s="23"/>
      <c r="HG111" s="20">
        <v>4990</v>
      </c>
      <c r="HH111" s="10">
        <f>HI111/HG111</f>
        <v>33.94008016032064</v>
      </c>
      <c r="HI111" s="20">
        <v>169361</v>
      </c>
      <c r="HJ111" s="20">
        <v>169361</v>
      </c>
      <c r="HK111" s="23">
        <f t="shared" si="304"/>
        <v>-6.902985074626869</v>
      </c>
      <c r="HL111" s="23">
        <f>HH111*100/GY111-100</f>
        <v>18.127576044024508</v>
      </c>
      <c r="HM111" s="23">
        <f t="shared" si="375"/>
        <v>9.973247100687004</v>
      </c>
      <c r="HN111" s="23">
        <f t="shared" si="376"/>
        <v>10.345838599966115</v>
      </c>
      <c r="HO111" s="23"/>
      <c r="HP111" s="20">
        <v>5162</v>
      </c>
      <c r="HQ111" s="10">
        <f t="shared" si="463"/>
        <v>28.99050755521116</v>
      </c>
      <c r="HR111" s="20">
        <v>149649</v>
      </c>
      <c r="HS111" s="20">
        <v>149649</v>
      </c>
      <c r="HT111" s="23">
        <f t="shared" si="306"/>
        <v>3.4468937875751493</v>
      </c>
      <c r="HU111" s="23">
        <f t="shared" si="464"/>
        <v>-14.583267280835784</v>
      </c>
      <c r="HV111" s="23">
        <f t="shared" si="370"/>
        <v>-11.639043227189262</v>
      </c>
      <c r="HW111" s="23">
        <f t="shared" si="371"/>
        <v>-11.639043227189262</v>
      </c>
      <c r="HX111" s="23"/>
      <c r="HY111" s="20">
        <v>5581</v>
      </c>
      <c r="HZ111" s="10">
        <f>IA111/HY111</f>
        <v>32.33560293854148</v>
      </c>
      <c r="IA111" s="20">
        <v>180465</v>
      </c>
      <c r="IB111" s="20">
        <v>180465</v>
      </c>
      <c r="IC111" s="23">
        <f t="shared" si="407"/>
        <v>8.117008911274695</v>
      </c>
      <c r="ID111" s="23">
        <f>HZ111*100/HQ111-100</f>
        <v>11.538588543024744</v>
      </c>
      <c r="IE111" s="23">
        <f t="shared" si="408"/>
        <v>20.592185714572096</v>
      </c>
      <c r="IF111" s="23">
        <f t="shared" si="409"/>
        <v>20.592185714572096</v>
      </c>
      <c r="IG111" s="23"/>
      <c r="IH111" s="1" t="s">
        <v>107</v>
      </c>
      <c r="II111" s="29">
        <f t="shared" si="386"/>
        <v>6127.1</v>
      </c>
      <c r="IJ111" s="30">
        <f t="shared" si="387"/>
        <v>28.283524347651877</v>
      </c>
      <c r="IK111" s="29">
        <f t="shared" si="388"/>
        <v>170606</v>
      </c>
      <c r="IL111" s="25">
        <f t="shared" si="465"/>
        <v>-15.751334236425066</v>
      </c>
      <c r="IM111" s="25">
        <f t="shared" si="466"/>
        <v>2.499629108696908</v>
      </c>
      <c r="IN111" s="25">
        <f t="shared" si="467"/>
        <v>-12.283858715402744</v>
      </c>
      <c r="IP111" s="30">
        <f>HP111*100/Italia!BR111</f>
        <v>4.51030590044474</v>
      </c>
      <c r="IQ111" s="30">
        <f>HR111*100/Italia!BT111</f>
        <v>5.956579765962367</v>
      </c>
      <c r="IR111" s="30">
        <f>HS111*100/Italia!BU111</f>
        <v>6.034053822587552</v>
      </c>
    </row>
    <row r="112" spans="1:252" ht="12">
      <c r="A112" s="1" t="s">
        <v>108</v>
      </c>
      <c r="B112" s="20">
        <v>23</v>
      </c>
      <c r="C112" s="10">
        <v>28.7</v>
      </c>
      <c r="D112" s="11">
        <v>660</v>
      </c>
      <c r="E112" s="9"/>
      <c r="F112" s="20">
        <v>23</v>
      </c>
      <c r="G112" s="10">
        <v>25.2</v>
      </c>
      <c r="H112" s="11">
        <v>581</v>
      </c>
      <c r="I112" s="23">
        <f>F112*100/B112-100</f>
        <v>0</v>
      </c>
      <c r="J112" s="23">
        <f>G112*100/C112-100</f>
        <v>-12.195121951219505</v>
      </c>
      <c r="K112" s="23">
        <f>H112*100/D112-100</f>
        <v>-11.969696969696969</v>
      </c>
      <c r="L112" s="8"/>
      <c r="M112" s="20">
        <v>50</v>
      </c>
      <c r="N112" s="10">
        <v>25.4</v>
      </c>
      <c r="O112" s="11">
        <v>1271</v>
      </c>
      <c r="P112" s="23">
        <f>M112*100/F112-100</f>
        <v>117.3913043478261</v>
      </c>
      <c r="Q112" s="23">
        <f>N112*100/G112-100</f>
        <v>0.7936507936507979</v>
      </c>
      <c r="R112" s="23">
        <f>O112*100/H112-100</f>
        <v>118.76075731497417</v>
      </c>
      <c r="S112" s="8"/>
      <c r="T112" s="20">
        <v>102</v>
      </c>
      <c r="U112" s="10">
        <v>22.1</v>
      </c>
      <c r="V112" s="11">
        <v>2257</v>
      </c>
      <c r="W112" s="23">
        <f>T112*100/M112-100</f>
        <v>104</v>
      </c>
      <c r="X112" s="23">
        <f>U112*100/N112-100</f>
        <v>-12.99212598425197</v>
      </c>
      <c r="Y112" s="23">
        <f>V112*100/O112-100</f>
        <v>77.57671125098346</v>
      </c>
      <c r="Z112" s="8"/>
      <c r="AA112" s="20">
        <v>89</v>
      </c>
      <c r="AB112" s="10">
        <v>23.8</v>
      </c>
      <c r="AC112" s="11">
        <v>2123</v>
      </c>
      <c r="AD112" s="23">
        <f>AA112*100/T112-100</f>
        <v>-12.74509803921569</v>
      </c>
      <c r="AE112" s="23">
        <f>AB112*100/U112-100</f>
        <v>7.692307692307679</v>
      </c>
      <c r="AF112" s="23">
        <f>AC112*100/V112-100</f>
        <v>-5.9370846256092165</v>
      </c>
      <c r="AG112" s="8"/>
      <c r="AH112" s="20">
        <v>73</v>
      </c>
      <c r="AI112" s="10">
        <v>27</v>
      </c>
      <c r="AJ112" s="11">
        <v>1977</v>
      </c>
      <c r="AK112" s="23">
        <f>AH112*100/AA112-100</f>
        <v>-17.97752808988764</v>
      </c>
      <c r="AL112" s="23">
        <f>AI112*100/AB112-100</f>
        <v>13.445378151260499</v>
      </c>
      <c r="AM112" s="23">
        <f>AJ112*100/AC112-100</f>
        <v>-6.877060763071128</v>
      </c>
      <c r="AN112" s="8"/>
      <c r="AO112" s="20">
        <v>112</v>
      </c>
      <c r="AP112" s="10">
        <v>25.6</v>
      </c>
      <c r="AQ112" s="11">
        <v>2871</v>
      </c>
      <c r="AR112" s="23">
        <f>AO112*100/AH112-100</f>
        <v>53.42465753424656</v>
      </c>
      <c r="AS112" s="23">
        <f>AP112*100/AI112-100</f>
        <v>-5.1851851851851904</v>
      </c>
      <c r="AT112" s="23">
        <f>AQ112*100/AJ112-100</f>
        <v>45.220030349013655</v>
      </c>
      <c r="AU112" s="8"/>
      <c r="AV112" s="20">
        <v>119</v>
      </c>
      <c r="AW112" s="10">
        <v>25.2</v>
      </c>
      <c r="AX112" s="11">
        <v>2996</v>
      </c>
      <c r="AY112" s="23">
        <f t="shared" si="430"/>
        <v>6.25</v>
      </c>
      <c r="AZ112" s="23">
        <f>AW112*100/AP112-100</f>
        <v>-1.5625</v>
      </c>
      <c r="BA112" s="23">
        <f t="shared" si="431"/>
        <v>4.353883664228491</v>
      </c>
      <c r="BB112" s="8"/>
      <c r="BC112" s="20">
        <v>79</v>
      </c>
      <c r="BD112" s="10">
        <v>30.3</v>
      </c>
      <c r="BE112" s="11">
        <v>2395</v>
      </c>
      <c r="BF112" s="23">
        <f t="shared" si="432"/>
        <v>-33.613445378151255</v>
      </c>
      <c r="BG112" s="23">
        <f>BD112*100/AW112-100</f>
        <v>20.23809523809524</v>
      </c>
      <c r="BH112" s="23">
        <f t="shared" si="433"/>
        <v>-20.06008010680908</v>
      </c>
      <c r="BI112" s="8"/>
      <c r="BJ112" s="20">
        <v>65</v>
      </c>
      <c r="BK112" s="10">
        <v>24</v>
      </c>
      <c r="BL112" s="11">
        <v>1561</v>
      </c>
      <c r="BM112" s="23">
        <f t="shared" si="434"/>
        <v>-17.721518987341767</v>
      </c>
      <c r="BN112" s="23">
        <f>BK112*100/BD112-100</f>
        <v>-20.792079207920793</v>
      </c>
      <c r="BO112" s="23">
        <f t="shared" si="435"/>
        <v>-34.822546972860124</v>
      </c>
      <c r="BP112" s="8"/>
      <c r="BQ112" s="20">
        <v>5314</v>
      </c>
      <c r="BR112" s="10">
        <v>32.7</v>
      </c>
      <c r="BS112" s="11">
        <v>156513</v>
      </c>
      <c r="BT112" s="23">
        <f t="shared" si="436"/>
        <v>8075.384615384615</v>
      </c>
      <c r="BU112" s="23">
        <f>BR112*100/BK112-100</f>
        <v>36.25000000000003</v>
      </c>
      <c r="BV112" s="23">
        <f t="shared" si="437"/>
        <v>9926.45739910314</v>
      </c>
      <c r="BW112" s="8"/>
      <c r="BX112" s="20">
        <v>51</v>
      </c>
      <c r="BY112" s="10">
        <v>32</v>
      </c>
      <c r="BZ112" s="11">
        <v>1527</v>
      </c>
      <c r="CA112" s="23">
        <f t="shared" si="438"/>
        <v>-99.04027098231087</v>
      </c>
      <c r="CB112" s="23">
        <f t="shared" si="448"/>
        <v>-2.1406727828746313</v>
      </c>
      <c r="CC112" s="23">
        <f t="shared" si="439"/>
        <v>-99.0243621935558</v>
      </c>
      <c r="CD112" s="8"/>
      <c r="CE112" s="20"/>
      <c r="CF112" s="10"/>
      <c r="CG112" s="11"/>
      <c r="CH112" s="23">
        <f t="shared" si="440"/>
        <v>-100</v>
      </c>
      <c r="CI112" s="23">
        <f t="shared" si="449"/>
        <v>-100</v>
      </c>
      <c r="CJ112" s="23">
        <f t="shared" si="441"/>
        <v>-100</v>
      </c>
      <c r="CK112" s="8"/>
      <c r="CL112" s="20"/>
      <c r="CM112" s="10"/>
      <c r="CN112" s="11"/>
      <c r="CO112" s="23" t="e">
        <f t="shared" si="442"/>
        <v>#DIV/0!</v>
      </c>
      <c r="CP112" s="23" t="e">
        <f t="shared" si="450"/>
        <v>#DIV/0!</v>
      </c>
      <c r="CQ112" s="23" t="e">
        <f t="shared" si="443"/>
        <v>#DIV/0!</v>
      </c>
      <c r="CR112" s="8"/>
      <c r="CS112" s="20">
        <v>17</v>
      </c>
      <c r="CT112" s="10">
        <v>39.2</v>
      </c>
      <c r="CU112" s="11">
        <v>667</v>
      </c>
      <c r="CV112" s="23" t="e">
        <f t="shared" si="394"/>
        <v>#DIV/0!</v>
      </c>
      <c r="CW112" s="23" t="e">
        <f t="shared" si="451"/>
        <v>#DIV/0!</v>
      </c>
      <c r="CX112" s="23" t="e">
        <f t="shared" si="395"/>
        <v>#DIV/0!</v>
      </c>
      <c r="CY112" s="8"/>
      <c r="CZ112" s="20">
        <v>12</v>
      </c>
      <c r="DA112" s="10">
        <v>36.8</v>
      </c>
      <c r="DB112" s="11">
        <v>442</v>
      </c>
      <c r="DC112" s="23">
        <f t="shared" si="396"/>
        <v>-29.411764705882348</v>
      </c>
      <c r="DD112" s="23">
        <f t="shared" si="452"/>
        <v>-6.1224489795918515</v>
      </c>
      <c r="DE112" s="23">
        <f t="shared" si="397"/>
        <v>-33.733133433283356</v>
      </c>
      <c r="DF112" s="8"/>
      <c r="DG112" s="20">
        <v>12</v>
      </c>
      <c r="DH112" s="10">
        <v>30.6</v>
      </c>
      <c r="DI112" s="11">
        <v>367</v>
      </c>
      <c r="DJ112" s="23">
        <f t="shared" si="398"/>
        <v>0</v>
      </c>
      <c r="DK112" s="23">
        <f t="shared" si="453"/>
        <v>-16.847826086956516</v>
      </c>
      <c r="DL112" s="23">
        <f t="shared" si="399"/>
        <v>-16.968325791855207</v>
      </c>
      <c r="DM112" s="8"/>
      <c r="DN112" s="20">
        <v>7</v>
      </c>
      <c r="DO112" s="10">
        <v>26</v>
      </c>
      <c r="DP112" s="11">
        <v>182</v>
      </c>
      <c r="DQ112" s="23">
        <f t="shared" si="400"/>
        <v>-41.666666666666664</v>
      </c>
      <c r="DR112" s="23">
        <f t="shared" si="454"/>
        <v>-15.032679738562095</v>
      </c>
      <c r="DS112" s="23">
        <f t="shared" si="401"/>
        <v>-50.40871934604905</v>
      </c>
      <c r="DT112" s="8"/>
      <c r="DU112" s="20">
        <v>4</v>
      </c>
      <c r="DV112" s="10">
        <v>20.3</v>
      </c>
      <c r="DW112" s="11">
        <v>81</v>
      </c>
      <c r="DX112" s="23">
        <f t="shared" si="402"/>
        <v>-42.857142857142854</v>
      </c>
      <c r="DY112" s="23">
        <f t="shared" si="455"/>
        <v>-21.92307692307692</v>
      </c>
      <c r="DZ112" s="23">
        <f t="shared" si="403"/>
        <v>-55.494505494505496</v>
      </c>
      <c r="EA112" s="8"/>
      <c r="EB112" s="20">
        <v>3</v>
      </c>
      <c r="EC112" s="10">
        <v>65.7</v>
      </c>
      <c r="ED112" s="11">
        <v>197</v>
      </c>
      <c r="EE112" s="23">
        <f t="shared" si="404"/>
        <v>-25</v>
      </c>
      <c r="EF112" s="23">
        <f t="shared" si="456"/>
        <v>223.64532019704433</v>
      </c>
      <c r="EG112" s="23">
        <f t="shared" si="405"/>
        <v>143.20987654320987</v>
      </c>
      <c r="EH112" s="8"/>
      <c r="EI112" s="20"/>
      <c r="EJ112" s="10"/>
      <c r="EK112" s="11"/>
      <c r="EL112" s="23">
        <f t="shared" si="444"/>
        <v>-100</v>
      </c>
      <c r="EM112" s="23">
        <f t="shared" si="457"/>
        <v>-100</v>
      </c>
      <c r="EN112" s="23">
        <f t="shared" si="445"/>
        <v>-100</v>
      </c>
      <c r="EO112" s="8"/>
      <c r="EP112" s="20"/>
      <c r="EQ112" s="10"/>
      <c r="ER112" s="11"/>
      <c r="ES112" s="23" t="e">
        <f t="shared" si="446"/>
        <v>#DIV/0!</v>
      </c>
      <c r="ET112" s="23" t="e">
        <f t="shared" si="458"/>
        <v>#DIV/0!</v>
      </c>
      <c r="EU112" s="23" t="e">
        <f t="shared" si="447"/>
        <v>#DIV/0!</v>
      </c>
      <c r="EV112" s="8"/>
      <c r="EW112" s="20"/>
      <c r="EX112" s="10"/>
      <c r="EY112" s="11"/>
      <c r="EZ112" s="11"/>
      <c r="FA112" s="23" t="e">
        <f t="shared" si="426"/>
        <v>#DIV/0!</v>
      </c>
      <c r="FB112" s="23" t="e">
        <f t="shared" si="459"/>
        <v>#DIV/0!</v>
      </c>
      <c r="FC112" s="23" t="e">
        <f t="shared" si="427"/>
        <v>#DIV/0!</v>
      </c>
      <c r="FD112" s="8"/>
      <c r="FE112" s="20"/>
      <c r="FF112" s="10"/>
      <c r="FG112" s="11"/>
      <c r="FH112" s="11"/>
      <c r="FI112" s="23" t="e">
        <f t="shared" si="428"/>
        <v>#DIV/0!</v>
      </c>
      <c r="FJ112" s="23" t="e">
        <f t="shared" si="460"/>
        <v>#DIV/0!</v>
      </c>
      <c r="FK112" s="23" t="e">
        <f t="shared" si="460"/>
        <v>#DIV/0!</v>
      </c>
      <c r="FL112" s="23" t="e">
        <f t="shared" si="429"/>
        <v>#DIV/0!</v>
      </c>
      <c r="FM112" s="23"/>
      <c r="FN112" s="20"/>
      <c r="FO112" s="10" t="e">
        <f>FP112/FN112</f>
        <v>#DIV/0!</v>
      </c>
      <c r="FP112" s="11"/>
      <c r="FQ112" s="11"/>
      <c r="FR112" s="23" t="e">
        <f t="shared" si="461"/>
        <v>#DIV/0!</v>
      </c>
      <c r="FS112" s="23" t="e">
        <f t="shared" si="461"/>
        <v>#DIV/0!</v>
      </c>
      <c r="FT112" s="23" t="e">
        <f t="shared" si="368"/>
        <v>#DIV/0!</v>
      </c>
      <c r="FU112" s="23" t="e">
        <f t="shared" si="368"/>
        <v>#DIV/0!</v>
      </c>
      <c r="FV112" s="23"/>
      <c r="FW112" s="20">
        <v>0</v>
      </c>
      <c r="FX112" s="10" t="e">
        <f>FY112/FW112</f>
        <v>#DIV/0!</v>
      </c>
      <c r="FY112" s="20">
        <v>0</v>
      </c>
      <c r="FZ112" s="20">
        <v>0</v>
      </c>
      <c r="GA112" s="23" t="e">
        <f t="shared" si="462"/>
        <v>#DIV/0!</v>
      </c>
      <c r="GB112" s="23" t="e">
        <f t="shared" si="462"/>
        <v>#DIV/0!</v>
      </c>
      <c r="GC112" s="23" t="e">
        <f t="shared" si="462"/>
        <v>#DIV/0!</v>
      </c>
      <c r="GD112" s="23" t="e">
        <f t="shared" si="462"/>
        <v>#DIV/0!</v>
      </c>
      <c r="GE112" s="23"/>
      <c r="GF112" s="20"/>
      <c r="GG112" s="10" t="e">
        <f>GH112/GF112</f>
        <v>#DIV/0!</v>
      </c>
      <c r="GH112" s="20"/>
      <c r="GI112" s="20"/>
      <c r="GJ112" s="23" t="e">
        <f t="shared" si="300"/>
        <v>#DIV/0!</v>
      </c>
      <c r="GK112" s="23" t="e">
        <f t="shared" si="300"/>
        <v>#DIV/0!</v>
      </c>
      <c r="GL112" s="23" t="e">
        <f t="shared" si="363"/>
        <v>#DIV/0!</v>
      </c>
      <c r="GM112" s="23" t="e">
        <f t="shared" si="363"/>
        <v>#DIV/0!</v>
      </c>
      <c r="GN112" s="23"/>
      <c r="GO112" s="20">
        <v>0</v>
      </c>
      <c r="GP112" s="10" t="e">
        <f>GQ112/GO112</f>
        <v>#DIV/0!</v>
      </c>
      <c r="GQ112" s="20">
        <v>0</v>
      </c>
      <c r="GR112" s="20">
        <v>0</v>
      </c>
      <c r="GS112" s="23" t="e">
        <f t="shared" si="301"/>
        <v>#DIV/0!</v>
      </c>
      <c r="GT112" s="23" t="e">
        <f t="shared" si="301"/>
        <v>#DIV/0!</v>
      </c>
      <c r="GU112" s="23" t="e">
        <f t="shared" si="364"/>
        <v>#DIV/0!</v>
      </c>
      <c r="GV112" s="23" t="e">
        <f t="shared" si="365"/>
        <v>#DIV/0!</v>
      </c>
      <c r="GW112" s="23"/>
      <c r="GX112" s="20">
        <v>45</v>
      </c>
      <c r="GY112" s="10">
        <f>GZ112/GX112</f>
        <v>56.422222222222224</v>
      </c>
      <c r="GZ112" s="20">
        <v>2539</v>
      </c>
      <c r="HA112" s="20">
        <v>2539</v>
      </c>
      <c r="HB112" s="23" t="e">
        <f t="shared" si="302"/>
        <v>#DIV/0!</v>
      </c>
      <c r="HC112" s="23" t="e">
        <f>GY112*100/GP112-100</f>
        <v>#DIV/0!</v>
      </c>
      <c r="HD112" s="23" t="e">
        <f t="shared" si="366"/>
        <v>#DIV/0!</v>
      </c>
      <c r="HE112" s="23" t="e">
        <f t="shared" si="367"/>
        <v>#DIV/0!</v>
      </c>
      <c r="HF112" s="23"/>
      <c r="HG112" s="20">
        <v>53</v>
      </c>
      <c r="HH112" s="10">
        <f>HI112/HG112</f>
        <v>59.45283018867924</v>
      </c>
      <c r="HI112" s="20">
        <v>3151</v>
      </c>
      <c r="HJ112" s="20">
        <v>3151</v>
      </c>
      <c r="HK112" s="23">
        <f t="shared" si="304"/>
        <v>17.77777777777777</v>
      </c>
      <c r="HL112" s="23">
        <f>HH112*100/GY112-100</f>
        <v>5.3713020279860615</v>
      </c>
      <c r="HM112" s="23">
        <f t="shared" si="375"/>
        <v>24.10397794407247</v>
      </c>
      <c r="HN112" s="23">
        <f t="shared" si="376"/>
        <v>24.10397794407247</v>
      </c>
      <c r="HO112" s="23"/>
      <c r="HP112" s="20"/>
      <c r="HQ112" s="10" t="e">
        <f t="shared" si="463"/>
        <v>#DIV/0!</v>
      </c>
      <c r="HR112" s="20"/>
      <c r="HS112" s="20"/>
      <c r="HT112" s="23">
        <f t="shared" si="306"/>
        <v>-100</v>
      </c>
      <c r="HU112" s="23" t="e">
        <f t="shared" si="464"/>
        <v>#DIV/0!</v>
      </c>
      <c r="HV112" s="23">
        <f t="shared" si="370"/>
        <v>-100</v>
      </c>
      <c r="HW112" s="23">
        <f t="shared" si="371"/>
        <v>-100</v>
      </c>
      <c r="HX112" s="23"/>
      <c r="HY112" s="20"/>
      <c r="HZ112" s="10" t="e">
        <f>IA112/HY112</f>
        <v>#DIV/0!</v>
      </c>
      <c r="IA112" s="20"/>
      <c r="IB112" s="20"/>
      <c r="IC112" s="23" t="e">
        <f t="shared" si="407"/>
        <v>#DIV/0!</v>
      </c>
      <c r="ID112" s="23" t="e">
        <f>HZ112*100/HQ112-100</f>
        <v>#DIV/0!</v>
      </c>
      <c r="IE112" s="23" t="e">
        <f t="shared" si="408"/>
        <v>#DIV/0!</v>
      </c>
      <c r="IF112" s="23" t="e">
        <f t="shared" si="409"/>
        <v>#DIV/0!</v>
      </c>
      <c r="IG112" s="23"/>
      <c r="IH112" s="1" t="s">
        <v>108</v>
      </c>
      <c r="II112" s="29">
        <f t="shared" si="386"/>
        <v>24.5</v>
      </c>
      <c r="IJ112" s="30" t="e">
        <f t="shared" si="387"/>
        <v>#DIV/0!</v>
      </c>
      <c r="IK112" s="29">
        <f t="shared" si="388"/>
        <v>1422.5</v>
      </c>
      <c r="IL112" s="25">
        <f t="shared" si="465"/>
        <v>-100</v>
      </c>
      <c r="IM112" s="25" t="e">
        <f t="shared" si="466"/>
        <v>#DIV/0!</v>
      </c>
      <c r="IN112" s="25">
        <f t="shared" si="467"/>
        <v>-100</v>
      </c>
      <c r="IP112" s="30" t="e">
        <f>HP112*100/Italia!BR112</f>
        <v>#DIV/0!</v>
      </c>
      <c r="IQ112" s="30" t="e">
        <f>HR112*100/Italia!BT112</f>
        <v>#DIV/0!</v>
      </c>
      <c r="IR112" s="30" t="e">
        <f>HS112*100/Italia!BU112</f>
        <v>#DIV/0!</v>
      </c>
    </row>
    <row r="113" spans="1:252" ht="12">
      <c r="A113" s="1" t="s">
        <v>109</v>
      </c>
      <c r="B113" s="20" t="s">
        <v>1</v>
      </c>
      <c r="C113" s="10" t="s">
        <v>1</v>
      </c>
      <c r="D113" s="11" t="s">
        <v>1</v>
      </c>
      <c r="E113" s="6"/>
      <c r="F113" s="20" t="s">
        <v>1</v>
      </c>
      <c r="G113" s="10" t="s">
        <v>1</v>
      </c>
      <c r="H113" s="11" t="s">
        <v>1</v>
      </c>
      <c r="I113" s="24" t="s">
        <v>1</v>
      </c>
      <c r="J113" s="24" t="s">
        <v>1</v>
      </c>
      <c r="K113" s="24" t="s">
        <v>1</v>
      </c>
      <c r="L113" s="6"/>
      <c r="M113" s="20" t="s">
        <v>1</v>
      </c>
      <c r="N113" s="10" t="s">
        <v>1</v>
      </c>
      <c r="O113" s="11" t="s">
        <v>1</v>
      </c>
      <c r="P113" s="24" t="s">
        <v>1</v>
      </c>
      <c r="Q113" s="24" t="s">
        <v>1</v>
      </c>
      <c r="R113" s="24" t="s">
        <v>1</v>
      </c>
      <c r="S113" s="6"/>
      <c r="T113" s="20" t="s">
        <v>1</v>
      </c>
      <c r="U113" s="10" t="s">
        <v>1</v>
      </c>
      <c r="V113" s="11" t="s">
        <v>1</v>
      </c>
      <c r="W113" s="24" t="s">
        <v>1</v>
      </c>
      <c r="X113" s="24" t="s">
        <v>1</v>
      </c>
      <c r="Y113" s="24" t="s">
        <v>1</v>
      </c>
      <c r="Z113" s="6"/>
      <c r="AA113" s="20" t="s">
        <v>1</v>
      </c>
      <c r="AB113" s="10" t="s">
        <v>1</v>
      </c>
      <c r="AC113" s="11" t="s">
        <v>1</v>
      </c>
      <c r="AD113" s="24" t="s">
        <v>1</v>
      </c>
      <c r="AE113" s="24" t="s">
        <v>1</v>
      </c>
      <c r="AF113" s="24" t="s">
        <v>1</v>
      </c>
      <c r="AG113" s="6"/>
      <c r="AH113" s="20" t="s">
        <v>1</v>
      </c>
      <c r="AI113" s="10" t="s">
        <v>1</v>
      </c>
      <c r="AJ113" s="11" t="s">
        <v>1</v>
      </c>
      <c r="AK113" s="24" t="s">
        <v>1</v>
      </c>
      <c r="AL113" s="24" t="s">
        <v>1</v>
      </c>
      <c r="AM113" s="24" t="s">
        <v>1</v>
      </c>
      <c r="AN113" s="6"/>
      <c r="AO113" s="20">
        <v>0</v>
      </c>
      <c r="AP113" s="10">
        <v>0</v>
      </c>
      <c r="AQ113" s="11">
        <v>0</v>
      </c>
      <c r="AR113" s="24" t="s">
        <v>1</v>
      </c>
      <c r="AS113" s="24" t="s">
        <v>1</v>
      </c>
      <c r="AT113" s="24" t="s">
        <v>1</v>
      </c>
      <c r="AU113" s="6"/>
      <c r="AV113" s="20">
        <v>50</v>
      </c>
      <c r="AW113" s="10">
        <f>1750/AV113</f>
        <v>35</v>
      </c>
      <c r="AX113" s="11">
        <v>1750</v>
      </c>
      <c r="AY113" s="24" t="e">
        <f t="shared" si="430"/>
        <v>#DIV/0!</v>
      </c>
      <c r="AZ113" s="24" t="e">
        <f>AW113*100/AP113-100</f>
        <v>#DIV/0!</v>
      </c>
      <c r="BA113" s="24" t="e">
        <f t="shared" si="431"/>
        <v>#DIV/0!</v>
      </c>
      <c r="BB113" s="8"/>
      <c r="BC113" s="20">
        <v>27</v>
      </c>
      <c r="BD113" s="10">
        <v>26</v>
      </c>
      <c r="BE113" s="11">
        <v>702</v>
      </c>
      <c r="BF113" s="24">
        <f t="shared" si="432"/>
        <v>-46</v>
      </c>
      <c r="BG113" s="24">
        <f>BD113*100/AW113-100</f>
        <v>-25.714285714285708</v>
      </c>
      <c r="BH113" s="24">
        <f t="shared" si="433"/>
        <v>-59.885714285714286</v>
      </c>
      <c r="BI113" s="8"/>
      <c r="BJ113" s="20">
        <v>520</v>
      </c>
      <c r="BK113" s="10">
        <v>32.7</v>
      </c>
      <c r="BL113" s="11">
        <v>17025</v>
      </c>
      <c r="BM113" s="24">
        <f t="shared" si="434"/>
        <v>1825.9259259259259</v>
      </c>
      <c r="BN113" s="24">
        <f>BK113*100/BD113-100</f>
        <v>25.769230769230788</v>
      </c>
      <c r="BO113" s="24">
        <f t="shared" si="435"/>
        <v>2325.2136752136753</v>
      </c>
      <c r="BP113" s="8"/>
      <c r="BQ113" s="20">
        <v>1380</v>
      </c>
      <c r="BR113" s="10">
        <v>23.95</v>
      </c>
      <c r="BS113" s="11">
        <v>32860</v>
      </c>
      <c r="BT113" s="24">
        <f t="shared" si="436"/>
        <v>165.38461538461536</v>
      </c>
      <c r="BU113" s="24">
        <f>BR113*100/BK113-100</f>
        <v>-26.758409785932727</v>
      </c>
      <c r="BV113" s="24">
        <f t="shared" si="437"/>
        <v>93.01027900146843</v>
      </c>
      <c r="BW113" s="8"/>
      <c r="BX113" s="20">
        <v>2253</v>
      </c>
      <c r="BY113" s="10">
        <v>22.3</v>
      </c>
      <c r="BZ113" s="11">
        <v>48902</v>
      </c>
      <c r="CA113" s="24">
        <f t="shared" si="438"/>
        <v>63.260869565217405</v>
      </c>
      <c r="CB113" s="24">
        <f t="shared" si="448"/>
        <v>-6.889352818371606</v>
      </c>
      <c r="CC113" s="24">
        <f t="shared" si="439"/>
        <v>48.81923311016433</v>
      </c>
      <c r="CD113" s="8"/>
      <c r="CE113" s="20">
        <v>987</v>
      </c>
      <c r="CF113" s="10">
        <v>18.4</v>
      </c>
      <c r="CG113" s="11">
        <v>17874</v>
      </c>
      <c r="CH113" s="24">
        <f t="shared" si="440"/>
        <v>-56.19174434087883</v>
      </c>
      <c r="CI113" s="24">
        <f t="shared" si="449"/>
        <v>-17.488789237668172</v>
      </c>
      <c r="CJ113" s="24">
        <f t="shared" si="441"/>
        <v>-63.44934767494172</v>
      </c>
      <c r="CK113" s="8"/>
      <c r="CL113" s="20">
        <v>459</v>
      </c>
      <c r="CM113" s="10">
        <v>21.8</v>
      </c>
      <c r="CN113" s="11">
        <v>9991</v>
      </c>
      <c r="CO113" s="24">
        <f t="shared" si="442"/>
        <v>-53.495440729483285</v>
      </c>
      <c r="CP113" s="24">
        <f t="shared" si="450"/>
        <v>18.478260869565233</v>
      </c>
      <c r="CQ113" s="24">
        <f t="shared" si="443"/>
        <v>-44.103166610719484</v>
      </c>
      <c r="CR113" s="8"/>
      <c r="CS113" s="20">
        <v>358</v>
      </c>
      <c r="CT113" s="10">
        <v>21.8</v>
      </c>
      <c r="CU113" s="11">
        <v>7820</v>
      </c>
      <c r="CV113" s="24">
        <f t="shared" si="394"/>
        <v>-22.004357298474943</v>
      </c>
      <c r="CW113" s="24">
        <f t="shared" si="451"/>
        <v>0</v>
      </c>
      <c r="CX113" s="24">
        <f t="shared" si="395"/>
        <v>-21.729556600940853</v>
      </c>
      <c r="CY113" s="8"/>
      <c r="CZ113" s="20">
        <v>690</v>
      </c>
      <c r="DA113" s="10">
        <v>20.7</v>
      </c>
      <c r="DB113" s="11">
        <v>14255</v>
      </c>
      <c r="DC113" s="24">
        <f t="shared" si="396"/>
        <v>92.73743016759778</v>
      </c>
      <c r="DD113" s="24">
        <f t="shared" si="452"/>
        <v>-5.045871559633028</v>
      </c>
      <c r="DE113" s="24">
        <f t="shared" si="397"/>
        <v>82.28900255754476</v>
      </c>
      <c r="DF113" s="8"/>
      <c r="DG113" s="20">
        <v>535</v>
      </c>
      <c r="DH113" s="10">
        <f>DI113/DG113</f>
        <v>22.49532710280374</v>
      </c>
      <c r="DI113" s="11">
        <v>12035</v>
      </c>
      <c r="DJ113" s="24">
        <f t="shared" si="398"/>
        <v>-22.46376811594203</v>
      </c>
      <c r="DK113" s="24">
        <f t="shared" si="453"/>
        <v>8.673077791322413</v>
      </c>
      <c r="DL113" s="24">
        <f t="shared" si="399"/>
        <v>-15.573482988425113</v>
      </c>
      <c r="DM113" s="8"/>
      <c r="DN113" s="20">
        <v>60</v>
      </c>
      <c r="DO113" s="10">
        <v>24.2</v>
      </c>
      <c r="DP113" s="11">
        <v>1450</v>
      </c>
      <c r="DQ113" s="24">
        <f t="shared" si="400"/>
        <v>-88.78504672897196</v>
      </c>
      <c r="DR113" s="24">
        <f t="shared" si="454"/>
        <v>7.577897798088912</v>
      </c>
      <c r="DS113" s="24">
        <f t="shared" si="401"/>
        <v>-87.95180722891567</v>
      </c>
      <c r="DT113" s="8"/>
      <c r="DU113" s="20">
        <v>40</v>
      </c>
      <c r="DV113" s="10">
        <v>25</v>
      </c>
      <c r="DW113" s="11">
        <v>1000</v>
      </c>
      <c r="DX113" s="24">
        <f t="shared" si="402"/>
        <v>-33.33333333333333</v>
      </c>
      <c r="DY113" s="24">
        <f t="shared" si="455"/>
        <v>3.305785123966942</v>
      </c>
      <c r="DZ113" s="24">
        <f t="shared" si="403"/>
        <v>-31.034482758620683</v>
      </c>
      <c r="EA113" s="8"/>
      <c r="EB113" s="20">
        <v>43</v>
      </c>
      <c r="EC113" s="10">
        <v>21.7</v>
      </c>
      <c r="ED113" s="11">
        <v>931</v>
      </c>
      <c r="EE113" s="24">
        <f t="shared" si="404"/>
        <v>7.5</v>
      </c>
      <c r="EF113" s="24">
        <f t="shared" si="456"/>
        <v>-13.200000000000003</v>
      </c>
      <c r="EG113" s="24">
        <f t="shared" si="405"/>
        <v>-6.900000000000006</v>
      </c>
      <c r="EH113" s="8"/>
      <c r="EI113" s="20">
        <v>25</v>
      </c>
      <c r="EJ113" s="10">
        <v>20</v>
      </c>
      <c r="EK113" s="11">
        <v>500</v>
      </c>
      <c r="EL113" s="24">
        <f t="shared" si="444"/>
        <v>-41.86046511627907</v>
      </c>
      <c r="EM113" s="24">
        <f t="shared" si="457"/>
        <v>-7.83410138248847</v>
      </c>
      <c r="EN113" s="24">
        <f t="shared" si="445"/>
        <v>-46.29430719656283</v>
      </c>
      <c r="EO113" s="8"/>
      <c r="EP113" s="20">
        <v>40</v>
      </c>
      <c r="EQ113" s="10">
        <v>22.5</v>
      </c>
      <c r="ER113" s="11">
        <v>900</v>
      </c>
      <c r="ES113" s="24">
        <f t="shared" si="446"/>
        <v>60</v>
      </c>
      <c r="ET113" s="24">
        <f t="shared" si="458"/>
        <v>12.5</v>
      </c>
      <c r="EU113" s="24">
        <f t="shared" si="447"/>
        <v>80</v>
      </c>
      <c r="EV113" s="8"/>
      <c r="EW113" s="20">
        <v>423</v>
      </c>
      <c r="EX113" s="10">
        <f>EY113/EW113</f>
        <v>30.99290780141844</v>
      </c>
      <c r="EY113" s="11">
        <v>13110</v>
      </c>
      <c r="EZ113" s="11">
        <v>13110</v>
      </c>
      <c r="FA113" s="24">
        <f t="shared" si="426"/>
        <v>957.5</v>
      </c>
      <c r="FB113" s="24">
        <f t="shared" si="459"/>
        <v>37.746256895193085</v>
      </c>
      <c r="FC113" s="24">
        <f t="shared" si="427"/>
        <v>1356.6666666666667</v>
      </c>
      <c r="FD113" s="8"/>
      <c r="FE113" s="20">
        <v>1168</v>
      </c>
      <c r="FF113" s="10">
        <f>FG113/FE113</f>
        <v>34.04965753424658</v>
      </c>
      <c r="FG113" s="11">
        <v>39770</v>
      </c>
      <c r="FH113" s="11">
        <v>39770</v>
      </c>
      <c r="FI113" s="24">
        <f t="shared" si="428"/>
        <v>176.12293144208036</v>
      </c>
      <c r="FJ113" s="24">
        <f t="shared" si="460"/>
        <v>9.862739412557602</v>
      </c>
      <c r="FK113" s="24">
        <f t="shared" si="460"/>
        <v>203.35621662852782</v>
      </c>
      <c r="FL113" s="24">
        <f t="shared" si="429"/>
        <v>203.35621662852782</v>
      </c>
      <c r="FM113" s="24"/>
      <c r="FN113" s="20">
        <v>2383</v>
      </c>
      <c r="FO113" s="10">
        <f>FP113/FN113</f>
        <v>27.004616030214017</v>
      </c>
      <c r="FP113" s="11">
        <v>64352</v>
      </c>
      <c r="FQ113" s="11">
        <v>64352</v>
      </c>
      <c r="FR113" s="23">
        <f t="shared" si="461"/>
        <v>104.02397260273972</v>
      </c>
      <c r="FS113" s="23">
        <f t="shared" si="461"/>
        <v>-20.690491518003597</v>
      </c>
      <c r="FT113" s="23">
        <f t="shared" si="368"/>
        <v>61.810409856675875</v>
      </c>
      <c r="FU113" s="23">
        <f t="shared" si="368"/>
        <v>61.810409856675875</v>
      </c>
      <c r="FV113" s="23"/>
      <c r="FW113" s="20">
        <v>2611</v>
      </c>
      <c r="FX113" s="10">
        <f>FY113/FW113</f>
        <v>29.12906932209881</v>
      </c>
      <c r="FY113" s="20">
        <v>76056</v>
      </c>
      <c r="FZ113" s="20">
        <v>76056</v>
      </c>
      <c r="GA113" s="23">
        <f t="shared" si="462"/>
        <v>9.56777171632396</v>
      </c>
      <c r="GB113" s="23">
        <f t="shared" si="462"/>
        <v>7.867000550971952</v>
      </c>
      <c r="GC113" s="23">
        <f t="shared" si="462"/>
        <v>18.18746892093486</v>
      </c>
      <c r="GD113" s="23">
        <f t="shared" si="462"/>
        <v>18.18746892093486</v>
      </c>
      <c r="GE113" s="23"/>
      <c r="GF113" s="20">
        <v>2163</v>
      </c>
      <c r="GG113" s="10">
        <f>GH113/GF113</f>
        <v>32.651410078594544</v>
      </c>
      <c r="GH113" s="20">
        <v>70625</v>
      </c>
      <c r="GI113" s="20">
        <v>70625</v>
      </c>
      <c r="GJ113" s="23">
        <f t="shared" si="300"/>
        <v>-17.15817694369973</v>
      </c>
      <c r="GK113" s="23">
        <f t="shared" si="300"/>
        <v>12.092184331558798</v>
      </c>
      <c r="GL113" s="23">
        <f t="shared" si="363"/>
        <v>-7.140790996108137</v>
      </c>
      <c r="GM113" s="23">
        <f t="shared" si="363"/>
        <v>-7.140790996108137</v>
      </c>
      <c r="GN113" s="23"/>
      <c r="GO113" s="20">
        <v>1404</v>
      </c>
      <c r="GP113" s="10">
        <f>GQ113/GO113</f>
        <v>31.876068376068375</v>
      </c>
      <c r="GQ113" s="20">
        <v>44754</v>
      </c>
      <c r="GR113" s="20">
        <v>44754</v>
      </c>
      <c r="GS113" s="23">
        <f t="shared" si="301"/>
        <v>-35.090152565880715</v>
      </c>
      <c r="GT113" s="23">
        <f t="shared" si="301"/>
        <v>-2.3746040390288243</v>
      </c>
      <c r="GU113" s="23">
        <f t="shared" si="364"/>
        <v>-36.63150442477876</v>
      </c>
      <c r="GV113" s="23">
        <f t="shared" si="365"/>
        <v>-36.63150442477876</v>
      </c>
      <c r="GW113" s="23"/>
      <c r="GX113" s="20">
        <v>1949</v>
      </c>
      <c r="GY113" s="10">
        <f>GZ113/GX113</f>
        <v>28.941508465879938</v>
      </c>
      <c r="GZ113" s="20">
        <v>56407</v>
      </c>
      <c r="HA113" s="20">
        <v>56407</v>
      </c>
      <c r="HB113" s="23">
        <f t="shared" si="302"/>
        <v>38.81766381766383</v>
      </c>
      <c r="HC113" s="23">
        <f>GY113*100/GP113-100</f>
        <v>-9.206153894410704</v>
      </c>
      <c r="HD113" s="23">
        <f t="shared" si="366"/>
        <v>26.037896053984</v>
      </c>
      <c r="HE113" s="23">
        <f t="shared" si="367"/>
        <v>26.037896053984</v>
      </c>
      <c r="HF113" s="23"/>
      <c r="HG113" s="20">
        <v>1775</v>
      </c>
      <c r="HH113" s="10">
        <f>HI113/HG113</f>
        <v>31.68056338028169</v>
      </c>
      <c r="HI113" s="20">
        <v>56233</v>
      </c>
      <c r="HJ113" s="20">
        <v>55133</v>
      </c>
      <c r="HK113" s="23">
        <f t="shared" si="304"/>
        <v>-8.927655207798878</v>
      </c>
      <c r="HL113" s="23">
        <f>HH113*100/GY113-100</f>
        <v>9.46410556875746</v>
      </c>
      <c r="HM113" s="23">
        <f t="shared" si="375"/>
        <v>-0.3084723527221769</v>
      </c>
      <c r="HN113" s="23">
        <f t="shared" si="376"/>
        <v>-2.258584927402623</v>
      </c>
      <c r="HO113" s="23"/>
      <c r="HP113" s="20">
        <v>1159</v>
      </c>
      <c r="HQ113" s="10">
        <f t="shared" si="463"/>
        <v>29.85332182916307</v>
      </c>
      <c r="HR113" s="20">
        <v>34600</v>
      </c>
      <c r="HS113" s="20">
        <v>34600</v>
      </c>
      <c r="HT113" s="23">
        <f t="shared" si="306"/>
        <v>-34.70422535211267</v>
      </c>
      <c r="HU113" s="23">
        <f t="shared" si="464"/>
        <v>-5.767705356704326</v>
      </c>
      <c r="HV113" s="23">
        <f t="shared" si="370"/>
        <v>-38.47029324418046</v>
      </c>
      <c r="HW113" s="23">
        <f t="shared" si="371"/>
        <v>-37.24266773076016</v>
      </c>
      <c r="HX113" s="23"/>
      <c r="HY113" s="20">
        <v>1256</v>
      </c>
      <c r="HZ113" s="10">
        <f>IA113/HY113</f>
        <v>34.271496815286625</v>
      </c>
      <c r="IA113" s="20">
        <v>43045</v>
      </c>
      <c r="IB113" s="20">
        <v>43045</v>
      </c>
      <c r="IC113" s="23">
        <f t="shared" si="407"/>
        <v>8.369283865401215</v>
      </c>
      <c r="ID113" s="23">
        <f>HZ113*100/HQ113-100</f>
        <v>14.799609274327153</v>
      </c>
      <c r="IE113" s="23">
        <f t="shared" si="408"/>
        <v>24.407514450867055</v>
      </c>
      <c r="IF113" s="23">
        <f t="shared" si="409"/>
        <v>24.407514450867055</v>
      </c>
      <c r="IG113" s="23"/>
      <c r="IH113" s="1" t="s">
        <v>109</v>
      </c>
      <c r="II113" s="29">
        <f t="shared" si="386"/>
        <v>1394.1</v>
      </c>
      <c r="IJ113" s="30">
        <f t="shared" si="387"/>
        <v>28.882580098880243</v>
      </c>
      <c r="IK113" s="29">
        <f t="shared" si="388"/>
        <v>42160.7</v>
      </c>
      <c r="IL113" s="25">
        <f t="shared" si="465"/>
        <v>-16.863926547593422</v>
      </c>
      <c r="IM113" s="25">
        <f t="shared" si="466"/>
        <v>3.360993813431733</v>
      </c>
      <c r="IN113" s="25">
        <f t="shared" si="467"/>
        <v>-17.93305139620547</v>
      </c>
      <c r="IP113" s="30">
        <f>HP113*100/Italia!BR113</f>
        <v>9.577720849516568</v>
      </c>
      <c r="IQ113" s="30">
        <f>HR113*100/Italia!BT113</f>
        <v>12.103996417776782</v>
      </c>
      <c r="IR113" s="30">
        <f>HS113*100/Italia!BU113</f>
        <v>12.424412174487582</v>
      </c>
    </row>
    <row r="114" spans="1:252" ht="12">
      <c r="A114" s="1" t="s">
        <v>110</v>
      </c>
      <c r="B114" s="20"/>
      <c r="C114" s="10"/>
      <c r="D114" s="11"/>
      <c r="F114" s="20"/>
      <c r="G114" s="10"/>
      <c r="H114" s="11"/>
      <c r="I114" s="25"/>
      <c r="J114" s="25"/>
      <c r="K114" s="25"/>
      <c r="M114" s="20"/>
      <c r="N114" s="10"/>
      <c r="O114" s="11"/>
      <c r="P114" s="25"/>
      <c r="Q114" s="25"/>
      <c r="R114" s="25"/>
      <c r="T114" s="20"/>
      <c r="U114" s="10"/>
      <c r="V114" s="11"/>
      <c r="W114" s="25"/>
      <c r="X114" s="25"/>
      <c r="Y114" s="25"/>
      <c r="AA114" s="20"/>
      <c r="AB114" s="10"/>
      <c r="AC114" s="11"/>
      <c r="AD114" s="25"/>
      <c r="AE114" s="25"/>
      <c r="AF114" s="25"/>
      <c r="AH114" s="20"/>
      <c r="AI114" s="10"/>
      <c r="AJ114" s="11"/>
      <c r="AK114" s="25"/>
      <c r="AL114" s="25"/>
      <c r="AM114" s="25"/>
      <c r="AO114" s="20"/>
      <c r="AP114" s="10"/>
      <c r="AQ114" s="11"/>
      <c r="AR114" s="25"/>
      <c r="AS114" s="25"/>
      <c r="AT114" s="25"/>
      <c r="AV114" s="20"/>
      <c r="AW114" s="10"/>
      <c r="AX114" s="11"/>
      <c r="AY114" s="25"/>
      <c r="AZ114" s="25"/>
      <c r="BA114" s="25"/>
      <c r="BC114" s="20"/>
      <c r="BD114" s="10"/>
      <c r="BE114" s="11"/>
      <c r="BF114" s="25"/>
      <c r="BG114" s="25"/>
      <c r="BH114" s="25"/>
      <c r="BJ114" s="20"/>
      <c r="BK114" s="10"/>
      <c r="BL114" s="11"/>
      <c r="BM114" s="25"/>
      <c r="BN114" s="25"/>
      <c r="BO114" s="25"/>
      <c r="BQ114" s="20">
        <v>665</v>
      </c>
      <c r="BR114" s="10">
        <v>18.2</v>
      </c>
      <c r="BS114" s="11">
        <v>11915</v>
      </c>
      <c r="BT114" s="25" t="s">
        <v>1</v>
      </c>
      <c r="BU114" s="25" t="s">
        <v>1</v>
      </c>
      <c r="BV114" s="25" t="s">
        <v>1</v>
      </c>
      <c r="BW114" s="6"/>
      <c r="BX114" s="20">
        <v>510</v>
      </c>
      <c r="BY114" s="10">
        <v>13.4</v>
      </c>
      <c r="BZ114" s="11">
        <v>6746</v>
      </c>
      <c r="CA114" s="25">
        <f t="shared" si="438"/>
        <v>-23.308270676691734</v>
      </c>
      <c r="CB114" s="25">
        <f t="shared" si="448"/>
        <v>-26.373626373626365</v>
      </c>
      <c r="CC114" s="25">
        <f t="shared" si="439"/>
        <v>-43.382291229542595</v>
      </c>
      <c r="CD114" s="8"/>
      <c r="CE114" s="20">
        <v>100</v>
      </c>
      <c r="CF114" s="10">
        <v>13.6</v>
      </c>
      <c r="CG114" s="11">
        <v>1360</v>
      </c>
      <c r="CH114" s="25">
        <f t="shared" si="440"/>
        <v>-80.3921568627451</v>
      </c>
      <c r="CI114" s="25">
        <f t="shared" si="449"/>
        <v>1.492537313432834</v>
      </c>
      <c r="CJ114" s="25">
        <f t="shared" si="441"/>
        <v>-79.83990512896531</v>
      </c>
      <c r="CK114" s="8"/>
      <c r="CL114" s="20"/>
      <c r="CM114" s="10"/>
      <c r="CN114" s="11"/>
      <c r="CO114" s="25">
        <f t="shared" si="442"/>
        <v>-100</v>
      </c>
      <c r="CP114" s="25">
        <f t="shared" si="450"/>
        <v>-100</v>
      </c>
      <c r="CQ114" s="25">
        <f t="shared" si="443"/>
        <v>-100</v>
      </c>
      <c r="CR114" s="8"/>
      <c r="CS114" s="20"/>
      <c r="CT114" s="10"/>
      <c r="CU114" s="11"/>
      <c r="CV114" s="25" t="e">
        <f t="shared" si="394"/>
        <v>#DIV/0!</v>
      </c>
      <c r="CW114" s="25" t="e">
        <f t="shared" si="451"/>
        <v>#DIV/0!</v>
      </c>
      <c r="CX114" s="25" t="e">
        <f t="shared" si="395"/>
        <v>#DIV/0!</v>
      </c>
      <c r="CY114" s="8"/>
      <c r="CZ114" s="20"/>
      <c r="DA114" s="10"/>
      <c r="DB114" s="11"/>
      <c r="DC114" s="25" t="e">
        <f t="shared" si="396"/>
        <v>#DIV/0!</v>
      </c>
      <c r="DD114" s="25" t="e">
        <f t="shared" si="452"/>
        <v>#DIV/0!</v>
      </c>
      <c r="DE114" s="25" t="e">
        <f t="shared" si="397"/>
        <v>#DIV/0!</v>
      </c>
      <c r="DF114" s="8"/>
      <c r="DG114" s="20" t="s">
        <v>1</v>
      </c>
      <c r="DH114" s="10" t="s">
        <v>1</v>
      </c>
      <c r="DI114" s="11" t="s">
        <v>1</v>
      </c>
      <c r="DJ114" s="25" t="e">
        <f t="shared" si="398"/>
        <v>#DIV/0!</v>
      </c>
      <c r="DK114" s="25" t="e">
        <f t="shared" si="453"/>
        <v>#DIV/0!</v>
      </c>
      <c r="DL114" s="25" t="e">
        <f t="shared" si="399"/>
        <v>#DIV/0!</v>
      </c>
      <c r="DM114" s="8"/>
      <c r="DN114" s="20" t="s">
        <v>1</v>
      </c>
      <c r="DO114" s="10" t="s">
        <v>1</v>
      </c>
      <c r="DP114" s="11" t="s">
        <v>1</v>
      </c>
      <c r="DQ114" s="25" t="e">
        <f t="shared" si="400"/>
        <v>#DIV/0!</v>
      </c>
      <c r="DR114" s="25" t="e">
        <f t="shared" si="454"/>
        <v>#DIV/0!</v>
      </c>
      <c r="DS114" s="25" t="e">
        <f t="shared" si="401"/>
        <v>#DIV/0!</v>
      </c>
      <c r="DT114" s="8"/>
      <c r="DU114" s="20">
        <v>13</v>
      </c>
      <c r="DV114" s="10">
        <v>40</v>
      </c>
      <c r="DW114" s="11">
        <v>520</v>
      </c>
      <c r="DX114" s="25" t="e">
        <f t="shared" si="402"/>
        <v>#DIV/0!</v>
      </c>
      <c r="DY114" s="25" t="e">
        <f t="shared" si="455"/>
        <v>#DIV/0!</v>
      </c>
      <c r="DZ114" s="25" t="e">
        <f t="shared" si="403"/>
        <v>#DIV/0!</v>
      </c>
      <c r="EA114" s="8"/>
      <c r="EB114" s="20">
        <v>80</v>
      </c>
      <c r="EC114" s="10">
        <v>61.9</v>
      </c>
      <c r="ED114" s="11">
        <v>4950</v>
      </c>
      <c r="EE114" s="25">
        <f t="shared" si="404"/>
        <v>515.3846153846154</v>
      </c>
      <c r="EF114" s="25">
        <f t="shared" si="456"/>
        <v>54.75</v>
      </c>
      <c r="EG114" s="25">
        <f t="shared" si="405"/>
        <v>851.9230769230769</v>
      </c>
      <c r="EH114" s="8"/>
      <c r="EI114" s="20">
        <v>20</v>
      </c>
      <c r="EJ114" s="10">
        <v>41</v>
      </c>
      <c r="EK114" s="11">
        <v>820</v>
      </c>
      <c r="EL114" s="25">
        <f t="shared" si="444"/>
        <v>-75</v>
      </c>
      <c r="EM114" s="25">
        <f t="shared" si="457"/>
        <v>-33.76413570274636</v>
      </c>
      <c r="EN114" s="25">
        <f t="shared" si="445"/>
        <v>-83.43434343434343</v>
      </c>
      <c r="EO114" s="8"/>
      <c r="EP114" s="6" t="s">
        <v>1</v>
      </c>
      <c r="EQ114" s="6" t="s">
        <v>1</v>
      </c>
      <c r="ER114" s="6" t="s">
        <v>1</v>
      </c>
      <c r="ES114" s="6" t="s">
        <v>1</v>
      </c>
      <c r="ET114" s="6" t="s">
        <v>1</v>
      </c>
      <c r="EU114" s="6" t="s">
        <v>1</v>
      </c>
      <c r="EV114" s="8"/>
      <c r="EW114" s="6" t="s">
        <v>1</v>
      </c>
      <c r="EX114" s="6" t="s">
        <v>1</v>
      </c>
      <c r="EY114" s="6" t="s">
        <v>1</v>
      </c>
      <c r="EZ114" s="6" t="s">
        <v>1</v>
      </c>
      <c r="FA114" s="6" t="s">
        <v>1</v>
      </c>
      <c r="FB114" s="6" t="s">
        <v>1</v>
      </c>
      <c r="FC114" s="6" t="s">
        <v>1</v>
      </c>
      <c r="FD114" s="8"/>
      <c r="FE114" s="24" t="s">
        <v>1</v>
      </c>
      <c r="FF114" s="24" t="s">
        <v>1</v>
      </c>
      <c r="FG114" s="24" t="s">
        <v>1</v>
      </c>
      <c r="FH114" s="24" t="s">
        <v>1</v>
      </c>
      <c r="FI114" s="24" t="s">
        <v>1</v>
      </c>
      <c r="FJ114" s="24" t="s">
        <v>1</v>
      </c>
      <c r="FK114" s="24" t="s">
        <v>1</v>
      </c>
      <c r="FL114" s="24" t="s">
        <v>1</v>
      </c>
      <c r="FM114" s="25"/>
      <c r="FN114" s="24" t="s">
        <v>1</v>
      </c>
      <c r="FO114" s="24" t="s">
        <v>1</v>
      </c>
      <c r="FP114" s="24" t="s">
        <v>1</v>
      </c>
      <c r="FQ114" s="24" t="s">
        <v>1</v>
      </c>
      <c r="FR114" s="24" t="s">
        <v>1</v>
      </c>
      <c r="FS114" s="24" t="s">
        <v>1</v>
      </c>
      <c r="FT114" s="24" t="s">
        <v>1</v>
      </c>
      <c r="FU114" s="24" t="s">
        <v>1</v>
      </c>
      <c r="FV114" s="23"/>
      <c r="FW114" s="24" t="s">
        <v>1</v>
      </c>
      <c r="FX114" s="24" t="s">
        <v>1</v>
      </c>
      <c r="FY114" s="24" t="s">
        <v>1</v>
      </c>
      <c r="FZ114" s="24" t="s">
        <v>1</v>
      </c>
      <c r="GA114" s="24" t="s">
        <v>1</v>
      </c>
      <c r="GB114" s="24" t="s">
        <v>1</v>
      </c>
      <c r="GC114" s="24" t="s">
        <v>1</v>
      </c>
      <c r="GD114" s="24" t="s">
        <v>1</v>
      </c>
      <c r="GE114" s="23"/>
      <c r="GF114" s="24" t="s">
        <v>1</v>
      </c>
      <c r="GG114" s="24" t="s">
        <v>1</v>
      </c>
      <c r="GH114" s="24" t="s">
        <v>1</v>
      </c>
      <c r="GI114" s="24" t="s">
        <v>1</v>
      </c>
      <c r="GJ114" s="24" t="s">
        <v>1</v>
      </c>
      <c r="GK114" s="24" t="s">
        <v>1</v>
      </c>
      <c r="GL114" s="24" t="s">
        <v>1</v>
      </c>
      <c r="GM114" s="24" t="s">
        <v>1</v>
      </c>
      <c r="GN114" s="23"/>
      <c r="GO114" s="24" t="s">
        <v>1</v>
      </c>
      <c r="GP114" s="24" t="s">
        <v>1</v>
      </c>
      <c r="GQ114" s="24" t="s">
        <v>1</v>
      </c>
      <c r="GR114" s="24" t="s">
        <v>1</v>
      </c>
      <c r="GS114" s="24" t="s">
        <v>1</v>
      </c>
      <c r="GT114" s="24" t="s">
        <v>1</v>
      </c>
      <c r="GU114" s="24" t="s">
        <v>1</v>
      </c>
      <c r="GV114" s="24" t="s">
        <v>1</v>
      </c>
      <c r="GW114" s="23"/>
      <c r="GX114" s="24" t="s">
        <v>1</v>
      </c>
      <c r="GY114" s="24" t="s">
        <v>1</v>
      </c>
      <c r="GZ114" s="24" t="s">
        <v>1</v>
      </c>
      <c r="HA114" s="24" t="s">
        <v>1</v>
      </c>
      <c r="HB114" s="24" t="s">
        <v>1</v>
      </c>
      <c r="HC114" s="24" t="s">
        <v>1</v>
      </c>
      <c r="HD114" s="24" t="s">
        <v>1</v>
      </c>
      <c r="HE114" s="24" t="s">
        <v>1</v>
      </c>
      <c r="HF114" s="23"/>
      <c r="HG114" s="24" t="s">
        <v>1</v>
      </c>
      <c r="HH114" s="24" t="s">
        <v>1</v>
      </c>
      <c r="HI114" s="24" t="s">
        <v>1</v>
      </c>
      <c r="HJ114" s="24" t="s">
        <v>1</v>
      </c>
      <c r="HK114" s="24" t="s">
        <v>1</v>
      </c>
      <c r="HL114" s="24" t="s">
        <v>1</v>
      </c>
      <c r="HM114" s="24" t="s">
        <v>1</v>
      </c>
      <c r="HN114" s="24" t="s">
        <v>1</v>
      </c>
      <c r="HO114" s="23"/>
      <c r="HP114" s="24" t="s">
        <v>1</v>
      </c>
      <c r="HQ114" s="24" t="s">
        <v>1</v>
      </c>
      <c r="HR114" s="24" t="s">
        <v>1</v>
      </c>
      <c r="HS114" s="24" t="s">
        <v>1</v>
      </c>
      <c r="HT114" s="24" t="s">
        <v>1</v>
      </c>
      <c r="HU114" s="24" t="s">
        <v>1</v>
      </c>
      <c r="HV114" s="24" t="s">
        <v>1</v>
      </c>
      <c r="HW114" s="24" t="s">
        <v>1</v>
      </c>
      <c r="HX114" s="23"/>
      <c r="HY114" s="24" t="s">
        <v>1</v>
      </c>
      <c r="HZ114" s="24" t="s">
        <v>1</v>
      </c>
      <c r="IA114" s="24" t="s">
        <v>1</v>
      </c>
      <c r="IB114" s="24" t="s">
        <v>1</v>
      </c>
      <c r="IC114" s="24" t="s">
        <v>1</v>
      </c>
      <c r="ID114" s="24" t="s">
        <v>1</v>
      </c>
      <c r="IE114" s="24" t="s">
        <v>1</v>
      </c>
      <c r="IF114" s="24" t="s">
        <v>1</v>
      </c>
      <c r="IG114" s="23"/>
      <c r="IH114" s="1" t="s">
        <v>110</v>
      </c>
      <c r="II114" s="29">
        <f t="shared" si="386"/>
        <v>20</v>
      </c>
      <c r="IJ114" s="30">
        <f t="shared" si="387"/>
        <v>41</v>
      </c>
      <c r="IK114" s="29">
        <f t="shared" si="388"/>
        <v>820</v>
      </c>
      <c r="IL114" s="25">
        <f t="shared" si="465"/>
        <v>-100</v>
      </c>
      <c r="IM114" s="25">
        <f t="shared" si="466"/>
        <v>-100</v>
      </c>
      <c r="IN114" s="25">
        <f t="shared" si="467"/>
        <v>-100</v>
      </c>
      <c r="IP114" s="30">
        <f>HP114*100/Italia!BR114</f>
        <v>0</v>
      </c>
      <c r="IQ114" s="30">
        <f>HR114*100/Italia!BT114</f>
        <v>0</v>
      </c>
      <c r="IR114" s="30">
        <f>HS114*100/Italia!BU114</f>
        <v>0</v>
      </c>
    </row>
    <row r="115" spans="1:252" ht="12">
      <c r="A115" s="1" t="s">
        <v>111</v>
      </c>
      <c r="B115" s="20"/>
      <c r="C115" s="10"/>
      <c r="D115" s="11"/>
      <c r="F115" s="20"/>
      <c r="G115" s="10"/>
      <c r="H115" s="11"/>
      <c r="I115" s="25"/>
      <c r="J115" s="25"/>
      <c r="K115" s="25"/>
      <c r="M115" s="20"/>
      <c r="N115" s="10"/>
      <c r="O115" s="11"/>
      <c r="P115" s="25"/>
      <c r="Q115" s="25"/>
      <c r="R115" s="25"/>
      <c r="T115" s="20"/>
      <c r="U115" s="10"/>
      <c r="V115" s="11"/>
      <c r="W115" s="25"/>
      <c r="X115" s="25"/>
      <c r="Y115" s="25"/>
      <c r="AA115" s="20"/>
      <c r="AB115" s="10"/>
      <c r="AC115" s="11"/>
      <c r="AD115" s="25"/>
      <c r="AE115" s="25"/>
      <c r="AF115" s="25"/>
      <c r="AH115" s="20"/>
      <c r="AI115" s="10"/>
      <c r="AJ115" s="11"/>
      <c r="AK115" s="25"/>
      <c r="AL115" s="25"/>
      <c r="AM115" s="25"/>
      <c r="AO115" s="20"/>
      <c r="AP115" s="10"/>
      <c r="AQ115" s="11"/>
      <c r="AR115" s="25"/>
      <c r="AS115" s="25"/>
      <c r="AT115" s="25"/>
      <c r="AV115" s="20"/>
      <c r="AW115" s="10"/>
      <c r="AX115" s="11"/>
      <c r="AY115" s="25"/>
      <c r="AZ115" s="25"/>
      <c r="BA115" s="25"/>
      <c r="BC115" s="20"/>
      <c r="BD115" s="10"/>
      <c r="BE115" s="11"/>
      <c r="BF115" s="25"/>
      <c r="BG115" s="25"/>
      <c r="BH115" s="25"/>
      <c r="BJ115" s="20"/>
      <c r="BK115" s="10"/>
      <c r="BL115" s="11"/>
      <c r="BM115" s="25"/>
      <c r="BN115" s="25"/>
      <c r="BO115" s="25"/>
      <c r="BQ115" s="20"/>
      <c r="BR115" s="10"/>
      <c r="BS115" s="11"/>
      <c r="BT115" s="25"/>
      <c r="BU115" s="25"/>
      <c r="BV115" s="25"/>
      <c r="BX115" s="20"/>
      <c r="BY115" s="10"/>
      <c r="BZ115" s="11"/>
      <c r="CA115" s="25"/>
      <c r="CB115" s="25"/>
      <c r="CC115" s="25"/>
      <c r="CE115" s="20"/>
      <c r="CF115" s="10"/>
      <c r="CG115" s="11"/>
      <c r="CH115" s="25"/>
      <c r="CI115" s="25"/>
      <c r="CJ115" s="25"/>
      <c r="CL115" s="20"/>
      <c r="CM115" s="10"/>
      <c r="CN115" s="11"/>
      <c r="CO115" s="25"/>
      <c r="CP115" s="25"/>
      <c r="CQ115" s="25"/>
      <c r="CS115" s="20"/>
      <c r="CT115" s="10"/>
      <c r="CU115" s="11"/>
      <c r="CV115" s="25"/>
      <c r="CW115" s="25"/>
      <c r="CX115" s="25"/>
      <c r="CZ115" s="20"/>
      <c r="DA115" s="10"/>
      <c r="DB115" s="11"/>
      <c r="DC115" s="25"/>
      <c r="DD115" s="25"/>
      <c r="DE115" s="25"/>
      <c r="DG115" s="20" t="s">
        <v>1</v>
      </c>
      <c r="DH115" s="10" t="s">
        <v>1</v>
      </c>
      <c r="DI115" s="11" t="s">
        <v>1</v>
      </c>
      <c r="DJ115" s="25" t="e">
        <f t="shared" si="398"/>
        <v>#DIV/0!</v>
      </c>
      <c r="DK115" s="25" t="e">
        <f t="shared" si="453"/>
        <v>#DIV/0!</v>
      </c>
      <c r="DL115" s="25" t="e">
        <f t="shared" si="399"/>
        <v>#DIV/0!</v>
      </c>
      <c r="DM115" s="8"/>
      <c r="DN115" s="20">
        <v>197</v>
      </c>
      <c r="DO115" s="10">
        <v>42.4</v>
      </c>
      <c r="DP115" s="11">
        <v>8360</v>
      </c>
      <c r="DQ115" s="25" t="e">
        <f t="shared" si="400"/>
        <v>#DIV/0!</v>
      </c>
      <c r="DR115" s="25" t="e">
        <f t="shared" si="454"/>
        <v>#DIV/0!</v>
      </c>
      <c r="DS115" s="25" t="e">
        <f t="shared" si="401"/>
        <v>#DIV/0!</v>
      </c>
      <c r="DT115" s="8"/>
      <c r="DU115" s="20">
        <v>808</v>
      </c>
      <c r="DV115" s="10">
        <v>34.1</v>
      </c>
      <c r="DW115" s="11">
        <v>27568</v>
      </c>
      <c r="DX115" s="25">
        <f t="shared" si="402"/>
        <v>310.1522842639594</v>
      </c>
      <c r="DY115" s="25">
        <f t="shared" si="455"/>
        <v>-19.575471698113205</v>
      </c>
      <c r="DZ115" s="25">
        <f t="shared" si="403"/>
        <v>229.76076555023923</v>
      </c>
      <c r="EA115" s="8"/>
      <c r="EB115" s="20">
        <v>952</v>
      </c>
      <c r="EC115" s="10">
        <v>40.3</v>
      </c>
      <c r="ED115" s="11">
        <v>38338</v>
      </c>
      <c r="EE115" s="25">
        <f t="shared" si="404"/>
        <v>17.821782178217816</v>
      </c>
      <c r="EF115" s="25">
        <f t="shared" si="456"/>
        <v>18.18181818181816</v>
      </c>
      <c r="EG115" s="25">
        <f t="shared" si="405"/>
        <v>39.06703424260013</v>
      </c>
      <c r="EH115" s="8"/>
      <c r="EI115" s="20">
        <v>50</v>
      </c>
      <c r="EJ115" s="10">
        <v>26</v>
      </c>
      <c r="EK115" s="11">
        <v>1300</v>
      </c>
      <c r="EL115" s="25">
        <f t="shared" si="444"/>
        <v>-94.74789915966386</v>
      </c>
      <c r="EM115" s="25">
        <f t="shared" si="457"/>
        <v>-35.483870967741936</v>
      </c>
      <c r="EN115" s="25">
        <f t="shared" si="445"/>
        <v>-96.60910845636184</v>
      </c>
      <c r="EO115" s="8"/>
      <c r="EP115" s="20">
        <v>133</v>
      </c>
      <c r="EQ115" s="10">
        <v>23.5</v>
      </c>
      <c r="ER115" s="11">
        <v>3119</v>
      </c>
      <c r="ES115" s="25">
        <f t="shared" si="446"/>
        <v>166</v>
      </c>
      <c r="ET115" s="25">
        <f t="shared" si="458"/>
        <v>-9.615384615384613</v>
      </c>
      <c r="EU115" s="25">
        <f t="shared" si="447"/>
        <v>139.92307692307693</v>
      </c>
      <c r="EV115" s="8"/>
      <c r="EW115" s="20">
        <v>417</v>
      </c>
      <c r="EX115" s="10">
        <f>EY115/EW115</f>
        <v>27.79136690647482</v>
      </c>
      <c r="EY115" s="11">
        <v>11589</v>
      </c>
      <c r="EZ115" s="11">
        <v>11589</v>
      </c>
      <c r="FA115" s="25">
        <f t="shared" si="426"/>
        <v>213.53383458646618</v>
      </c>
      <c r="FB115" s="25">
        <f t="shared" si="459"/>
        <v>18.26113577223329</v>
      </c>
      <c r="FC115" s="25">
        <f t="shared" si="427"/>
        <v>271.56139788393716</v>
      </c>
      <c r="FD115" s="8"/>
      <c r="FE115" s="20">
        <v>297</v>
      </c>
      <c r="FF115" s="10">
        <f>FG115/FE115</f>
        <v>32.13131313131313</v>
      </c>
      <c r="FG115" s="11">
        <v>9543</v>
      </c>
      <c r="FH115" s="11">
        <v>9543</v>
      </c>
      <c r="FI115" s="25">
        <f t="shared" si="428"/>
        <v>-28.776978417266193</v>
      </c>
      <c r="FJ115" s="25">
        <f t="shared" si="460"/>
        <v>15.616166845781123</v>
      </c>
      <c r="FK115" s="25">
        <f t="shared" si="460"/>
        <v>-17.654672534299763</v>
      </c>
      <c r="FL115" s="25">
        <f t="shared" si="429"/>
        <v>-17.654672534299763</v>
      </c>
      <c r="FM115" s="25"/>
      <c r="FN115" s="24" t="s">
        <v>1</v>
      </c>
      <c r="FO115" s="24" t="s">
        <v>1</v>
      </c>
      <c r="FP115" s="24" t="s">
        <v>1</v>
      </c>
      <c r="FQ115" s="24" t="s">
        <v>1</v>
      </c>
      <c r="FR115" s="24" t="s">
        <v>1</v>
      </c>
      <c r="FS115" s="24" t="s">
        <v>1</v>
      </c>
      <c r="FT115" s="24" t="s">
        <v>1</v>
      </c>
      <c r="FU115" s="24" t="s">
        <v>1</v>
      </c>
      <c r="FV115" s="23"/>
      <c r="FW115" s="24" t="s">
        <v>1</v>
      </c>
      <c r="FX115" s="24" t="s">
        <v>1</v>
      </c>
      <c r="FY115" s="24" t="s">
        <v>1</v>
      </c>
      <c r="FZ115" s="24" t="s">
        <v>1</v>
      </c>
      <c r="GA115" s="24" t="s">
        <v>1</v>
      </c>
      <c r="GB115" s="24" t="s">
        <v>1</v>
      </c>
      <c r="GC115" s="24" t="s">
        <v>1</v>
      </c>
      <c r="GD115" s="24" t="s">
        <v>1</v>
      </c>
      <c r="GE115" s="23"/>
      <c r="GF115" s="24" t="s">
        <v>1</v>
      </c>
      <c r="GG115" s="24" t="s">
        <v>1</v>
      </c>
      <c r="GH115" s="24" t="s">
        <v>1</v>
      </c>
      <c r="GI115" s="24" t="s">
        <v>1</v>
      </c>
      <c r="GJ115" s="24" t="s">
        <v>1</v>
      </c>
      <c r="GK115" s="24" t="s">
        <v>1</v>
      </c>
      <c r="GL115" s="24" t="s">
        <v>1</v>
      </c>
      <c r="GM115" s="24" t="s">
        <v>1</v>
      </c>
      <c r="GN115" s="23"/>
      <c r="GO115" s="24" t="s">
        <v>1</v>
      </c>
      <c r="GP115" s="24" t="s">
        <v>1</v>
      </c>
      <c r="GQ115" s="24" t="s">
        <v>1</v>
      </c>
      <c r="GR115" s="24" t="s">
        <v>1</v>
      </c>
      <c r="GS115" s="24" t="s">
        <v>1</v>
      </c>
      <c r="GT115" s="24" t="s">
        <v>1</v>
      </c>
      <c r="GU115" s="24" t="s">
        <v>1</v>
      </c>
      <c r="GV115" s="24" t="s">
        <v>1</v>
      </c>
      <c r="GW115" s="23"/>
      <c r="GX115" s="24" t="s">
        <v>1</v>
      </c>
      <c r="GY115" s="24" t="s">
        <v>1</v>
      </c>
      <c r="GZ115" s="24" t="s">
        <v>1</v>
      </c>
      <c r="HA115" s="24" t="s">
        <v>1</v>
      </c>
      <c r="HB115" s="24" t="s">
        <v>1</v>
      </c>
      <c r="HC115" s="24" t="s">
        <v>1</v>
      </c>
      <c r="HD115" s="24" t="s">
        <v>1</v>
      </c>
      <c r="HE115" s="24" t="s">
        <v>1</v>
      </c>
      <c r="HF115" s="23"/>
      <c r="HG115" s="24" t="s">
        <v>1</v>
      </c>
      <c r="HH115" s="24" t="s">
        <v>1</v>
      </c>
      <c r="HI115" s="24" t="s">
        <v>1</v>
      </c>
      <c r="HJ115" s="24" t="s">
        <v>1</v>
      </c>
      <c r="HK115" s="24" t="s">
        <v>1</v>
      </c>
      <c r="HL115" s="24" t="s">
        <v>1</v>
      </c>
      <c r="HM115" s="24" t="s">
        <v>1</v>
      </c>
      <c r="HN115" s="24" t="s">
        <v>1</v>
      </c>
      <c r="HO115" s="23"/>
      <c r="HP115" s="20">
        <v>96</v>
      </c>
      <c r="HQ115" s="10">
        <f t="shared" si="463"/>
        <v>25</v>
      </c>
      <c r="HR115" s="20">
        <v>2400</v>
      </c>
      <c r="HS115" s="20">
        <v>2400</v>
      </c>
      <c r="HT115" s="23" t="e">
        <f t="shared" si="306"/>
        <v>#DIV/0!</v>
      </c>
      <c r="HU115" s="23" t="e">
        <f t="shared" si="464"/>
        <v>#DIV/0!</v>
      </c>
      <c r="HV115" s="23" t="e">
        <f t="shared" si="370"/>
        <v>#DIV/0!</v>
      </c>
      <c r="HW115" s="23" t="e">
        <f t="shared" si="371"/>
        <v>#DIV/0!</v>
      </c>
      <c r="HX115" s="23"/>
      <c r="HY115" s="20"/>
      <c r="HZ115" s="10" t="e">
        <f>IA115/HY115</f>
        <v>#DIV/0!</v>
      </c>
      <c r="IA115" s="20"/>
      <c r="IB115" s="20"/>
      <c r="IC115" s="23">
        <f>HY115*100/HP115-100</f>
        <v>-100</v>
      </c>
      <c r="ID115" s="23" t="e">
        <f>HZ115*100/HQ115-100</f>
        <v>#DIV/0!</v>
      </c>
      <c r="IE115" s="23">
        <f>IA115*100/HR115-100</f>
        <v>-100</v>
      </c>
      <c r="IF115" s="23">
        <f>IB115*100/HS115-100</f>
        <v>-100</v>
      </c>
      <c r="IG115" s="23"/>
      <c r="IH115" s="1" t="s">
        <v>111</v>
      </c>
      <c r="II115" s="29">
        <f t="shared" si="386"/>
        <v>224.25</v>
      </c>
      <c r="IJ115" s="30">
        <f t="shared" si="387"/>
        <v>27.35567000944699</v>
      </c>
      <c r="IK115" s="29">
        <f t="shared" si="388"/>
        <v>6387.75</v>
      </c>
      <c r="IL115" s="25">
        <f t="shared" si="465"/>
        <v>-57.19063545150502</v>
      </c>
      <c r="IM115" s="25">
        <f t="shared" si="466"/>
        <v>-8.61126782357546</v>
      </c>
      <c r="IN115" s="25">
        <f t="shared" si="467"/>
        <v>-62.42808500645767</v>
      </c>
      <c r="IP115" s="30">
        <f>HP115*100/Italia!BR115</f>
        <v>18.045112781954888</v>
      </c>
      <c r="IQ115" s="30">
        <f>HR115*100/Italia!BT115</f>
        <v>7.423675337931888</v>
      </c>
      <c r="IR115" s="30">
        <f>HS115*100/Italia!BU115</f>
        <v>7.6086611926576415</v>
      </c>
    </row>
    <row r="116" spans="1:252" ht="12">
      <c r="A116" s="1" t="s">
        <v>133</v>
      </c>
      <c r="B116" s="20"/>
      <c r="C116" s="10"/>
      <c r="D116" s="11"/>
      <c r="F116" s="20"/>
      <c r="G116" s="10"/>
      <c r="H116" s="11"/>
      <c r="I116" s="25"/>
      <c r="J116" s="25"/>
      <c r="K116" s="25"/>
      <c r="M116" s="20"/>
      <c r="N116" s="10"/>
      <c r="O116" s="11"/>
      <c r="P116" s="25"/>
      <c r="Q116" s="25"/>
      <c r="R116" s="25"/>
      <c r="T116" s="20"/>
      <c r="U116" s="10"/>
      <c r="V116" s="11"/>
      <c r="W116" s="25"/>
      <c r="X116" s="25"/>
      <c r="Y116" s="25"/>
      <c r="AA116" s="20"/>
      <c r="AB116" s="10"/>
      <c r="AC116" s="11"/>
      <c r="AD116" s="25"/>
      <c r="AE116" s="25"/>
      <c r="AF116" s="25"/>
      <c r="AH116" s="20"/>
      <c r="AI116" s="10"/>
      <c r="AJ116" s="11"/>
      <c r="AK116" s="25"/>
      <c r="AL116" s="25"/>
      <c r="AM116" s="25"/>
      <c r="AO116" s="20"/>
      <c r="AP116" s="10"/>
      <c r="AQ116" s="11"/>
      <c r="AR116" s="25"/>
      <c r="AS116" s="25"/>
      <c r="AT116" s="25"/>
      <c r="AV116" s="20"/>
      <c r="AW116" s="10"/>
      <c r="AX116" s="11"/>
      <c r="AY116" s="25"/>
      <c r="AZ116" s="25"/>
      <c r="BA116" s="25"/>
      <c r="BC116" s="20"/>
      <c r="BD116" s="10"/>
      <c r="BE116" s="11"/>
      <c r="BF116" s="25"/>
      <c r="BG116" s="25"/>
      <c r="BH116" s="25"/>
      <c r="BJ116" s="20"/>
      <c r="BK116" s="10"/>
      <c r="BL116" s="11"/>
      <c r="BM116" s="25"/>
      <c r="BN116" s="25"/>
      <c r="BO116" s="25"/>
      <c r="BQ116" s="20"/>
      <c r="BR116" s="10"/>
      <c r="BS116" s="11"/>
      <c r="BT116" s="25"/>
      <c r="BU116" s="25"/>
      <c r="BV116" s="25"/>
      <c r="BX116" s="20"/>
      <c r="BY116" s="10"/>
      <c r="BZ116" s="11"/>
      <c r="CA116" s="25"/>
      <c r="CB116" s="25"/>
      <c r="CC116" s="25"/>
      <c r="CE116" s="20"/>
      <c r="CF116" s="10"/>
      <c r="CG116" s="11"/>
      <c r="CH116" s="25"/>
      <c r="CI116" s="25"/>
      <c r="CJ116" s="25"/>
      <c r="CL116" s="20"/>
      <c r="CM116" s="10"/>
      <c r="CN116" s="11"/>
      <c r="CO116" s="25"/>
      <c r="CP116" s="25"/>
      <c r="CQ116" s="25"/>
      <c r="CS116" s="20"/>
      <c r="CT116" s="10"/>
      <c r="CU116" s="11"/>
      <c r="CV116" s="25"/>
      <c r="CW116" s="25"/>
      <c r="CX116" s="25"/>
      <c r="CZ116" s="20"/>
      <c r="DA116" s="10"/>
      <c r="DB116" s="11"/>
      <c r="DC116" s="25"/>
      <c r="DD116" s="25"/>
      <c r="DE116" s="25"/>
      <c r="DG116" s="20"/>
      <c r="DH116" s="10"/>
      <c r="DI116" s="11"/>
      <c r="DJ116" s="25"/>
      <c r="DK116" s="25"/>
      <c r="DL116" s="25"/>
      <c r="DM116" s="8"/>
      <c r="DN116" s="20"/>
      <c r="DO116" s="10"/>
      <c r="DP116" s="11"/>
      <c r="DQ116" s="25"/>
      <c r="DR116" s="25"/>
      <c r="DS116" s="25"/>
      <c r="DT116" s="8"/>
      <c r="DU116" s="20"/>
      <c r="DV116" s="10"/>
      <c r="DW116" s="11"/>
      <c r="DX116" s="25"/>
      <c r="DY116" s="25"/>
      <c r="DZ116" s="25"/>
      <c r="EA116" s="8"/>
      <c r="EB116" s="20"/>
      <c r="EC116" s="10"/>
      <c r="ED116" s="11"/>
      <c r="EE116" s="25"/>
      <c r="EF116" s="25"/>
      <c r="EG116" s="25"/>
      <c r="EH116" s="8"/>
      <c r="EI116" s="20"/>
      <c r="EJ116" s="10"/>
      <c r="EK116" s="11"/>
      <c r="EL116" s="25"/>
      <c r="EM116" s="25"/>
      <c r="EN116" s="25"/>
      <c r="EO116" s="8"/>
      <c r="EP116" s="6" t="s">
        <v>1</v>
      </c>
      <c r="EQ116" s="6" t="s">
        <v>1</v>
      </c>
      <c r="ER116" s="6" t="s">
        <v>1</v>
      </c>
      <c r="ES116" s="6" t="s">
        <v>1</v>
      </c>
      <c r="ET116" s="6" t="s">
        <v>1</v>
      </c>
      <c r="EU116" s="6" t="s">
        <v>1</v>
      </c>
      <c r="EV116" s="8"/>
      <c r="EW116" s="6" t="s">
        <v>1</v>
      </c>
      <c r="EX116" s="6" t="s">
        <v>1</v>
      </c>
      <c r="EY116" s="6" t="s">
        <v>1</v>
      </c>
      <c r="EZ116" s="6" t="s">
        <v>1</v>
      </c>
      <c r="FA116" s="6" t="s">
        <v>1</v>
      </c>
      <c r="FB116" s="6" t="s">
        <v>1</v>
      </c>
      <c r="FC116" s="6" t="s">
        <v>1</v>
      </c>
      <c r="FD116" s="8"/>
      <c r="FE116" s="20">
        <v>90</v>
      </c>
      <c r="FF116" s="10">
        <f>FG116/FE116</f>
        <v>40</v>
      </c>
      <c r="FG116" s="11">
        <v>3600</v>
      </c>
      <c r="FH116" s="11">
        <v>3600</v>
      </c>
      <c r="FI116" s="25" t="e">
        <f>FE116*100/EW116-100</f>
        <v>#DIV/0!</v>
      </c>
      <c r="FJ116" s="25" t="e">
        <f>FF116*100/EX116-100</f>
        <v>#DIV/0!</v>
      </c>
      <c r="FK116" s="25" t="e">
        <f>FG116*100/EY116-100</f>
        <v>#DIV/0!</v>
      </c>
      <c r="FL116" s="25" t="e">
        <f>FH116*100/EZ116-100</f>
        <v>#DIV/0!</v>
      </c>
      <c r="FM116" s="25"/>
      <c r="FN116" s="24" t="s">
        <v>1</v>
      </c>
      <c r="FO116" s="24" t="s">
        <v>1</v>
      </c>
      <c r="FP116" s="24" t="s">
        <v>1</v>
      </c>
      <c r="FQ116" s="24" t="s">
        <v>1</v>
      </c>
      <c r="FR116" s="24" t="s">
        <v>1</v>
      </c>
      <c r="FS116" s="24" t="s">
        <v>1</v>
      </c>
      <c r="FT116" s="24" t="s">
        <v>1</v>
      </c>
      <c r="FU116" s="24" t="s">
        <v>1</v>
      </c>
      <c r="FV116" s="23"/>
      <c r="FW116" s="24" t="s">
        <v>1</v>
      </c>
      <c r="FX116" s="24" t="s">
        <v>1</v>
      </c>
      <c r="FY116" s="24" t="s">
        <v>1</v>
      </c>
      <c r="FZ116" s="24" t="s">
        <v>1</v>
      </c>
      <c r="GA116" s="24" t="s">
        <v>1</v>
      </c>
      <c r="GB116" s="24" t="s">
        <v>1</v>
      </c>
      <c r="GC116" s="24" t="s">
        <v>1</v>
      </c>
      <c r="GD116" s="24" t="s">
        <v>1</v>
      </c>
      <c r="GE116" s="23"/>
      <c r="GF116" s="24" t="s">
        <v>1</v>
      </c>
      <c r="GG116" s="24" t="s">
        <v>1</v>
      </c>
      <c r="GH116" s="24" t="s">
        <v>1</v>
      </c>
      <c r="GI116" s="24" t="s">
        <v>1</v>
      </c>
      <c r="GJ116" s="24" t="s">
        <v>1</v>
      </c>
      <c r="GK116" s="24" t="s">
        <v>1</v>
      </c>
      <c r="GL116" s="24" t="s">
        <v>1</v>
      </c>
      <c r="GM116" s="24" t="s">
        <v>1</v>
      </c>
      <c r="GN116" s="23"/>
      <c r="GO116" s="24" t="s">
        <v>1</v>
      </c>
      <c r="GP116" s="24" t="s">
        <v>1</v>
      </c>
      <c r="GQ116" s="24" t="s">
        <v>1</v>
      </c>
      <c r="GR116" s="24" t="s">
        <v>1</v>
      </c>
      <c r="GS116" s="24" t="s">
        <v>1</v>
      </c>
      <c r="GT116" s="24" t="s">
        <v>1</v>
      </c>
      <c r="GU116" s="24" t="s">
        <v>1</v>
      </c>
      <c r="GV116" s="24" t="s">
        <v>1</v>
      </c>
      <c r="GW116" s="23"/>
      <c r="GX116" s="24" t="s">
        <v>1</v>
      </c>
      <c r="GY116" s="24" t="s">
        <v>1</v>
      </c>
      <c r="GZ116" s="24" t="s">
        <v>1</v>
      </c>
      <c r="HA116" s="24" t="s">
        <v>1</v>
      </c>
      <c r="HB116" s="24" t="s">
        <v>1</v>
      </c>
      <c r="HC116" s="24" t="s">
        <v>1</v>
      </c>
      <c r="HD116" s="24" t="s">
        <v>1</v>
      </c>
      <c r="HE116" s="24" t="s">
        <v>1</v>
      </c>
      <c r="HF116" s="23"/>
      <c r="HG116" s="24" t="s">
        <v>1</v>
      </c>
      <c r="HH116" s="24" t="s">
        <v>1</v>
      </c>
      <c r="HI116" s="24" t="s">
        <v>1</v>
      </c>
      <c r="HJ116" s="24" t="s">
        <v>1</v>
      </c>
      <c r="HK116" s="24" t="s">
        <v>1</v>
      </c>
      <c r="HL116" s="24" t="s">
        <v>1</v>
      </c>
      <c r="HM116" s="24" t="s">
        <v>1</v>
      </c>
      <c r="HN116" s="24" t="s">
        <v>1</v>
      </c>
      <c r="HO116" s="23"/>
      <c r="HP116" s="24" t="s">
        <v>1</v>
      </c>
      <c r="HQ116" s="24" t="s">
        <v>1</v>
      </c>
      <c r="HR116" s="24" t="s">
        <v>1</v>
      </c>
      <c r="HS116" s="24" t="s">
        <v>1</v>
      </c>
      <c r="HT116" s="24" t="s">
        <v>1</v>
      </c>
      <c r="HU116" s="24" t="s">
        <v>1</v>
      </c>
      <c r="HV116" s="24" t="s">
        <v>1</v>
      </c>
      <c r="HW116" s="24" t="s">
        <v>1</v>
      </c>
      <c r="HX116" s="23"/>
      <c r="HY116" s="24" t="s">
        <v>1</v>
      </c>
      <c r="HZ116" s="24" t="s">
        <v>1</v>
      </c>
      <c r="IA116" s="24" t="s">
        <v>1</v>
      </c>
      <c r="IB116" s="24" t="s">
        <v>1</v>
      </c>
      <c r="IC116" s="24" t="s">
        <v>1</v>
      </c>
      <c r="ID116" s="24" t="s">
        <v>1</v>
      </c>
      <c r="IE116" s="24" t="s">
        <v>1</v>
      </c>
      <c r="IF116" s="24" t="s">
        <v>1</v>
      </c>
      <c r="IG116" s="23"/>
      <c r="IH116" s="1" t="s">
        <v>133</v>
      </c>
      <c r="II116" s="29">
        <f t="shared" si="386"/>
        <v>90</v>
      </c>
      <c r="IJ116" s="30">
        <f t="shared" si="387"/>
        <v>40</v>
      </c>
      <c r="IK116" s="29">
        <f t="shared" si="388"/>
        <v>3600</v>
      </c>
      <c r="IL116" s="25">
        <f t="shared" si="465"/>
        <v>-100</v>
      </c>
      <c r="IM116" s="25">
        <f t="shared" si="466"/>
        <v>-100</v>
      </c>
      <c r="IN116" s="25">
        <f t="shared" si="467"/>
        <v>-100</v>
      </c>
      <c r="IP116" s="30">
        <f>HP116*100/Italia!BR116</f>
        <v>0</v>
      </c>
      <c r="IQ116" s="30">
        <f>HR116*100/Italia!BT116</f>
        <v>0</v>
      </c>
      <c r="IR116" s="30">
        <f>HS116*100/Italia!BU116</f>
        <v>0</v>
      </c>
    </row>
    <row r="117" spans="1:252" ht="12">
      <c r="A117" s="1" t="s">
        <v>152</v>
      </c>
      <c r="B117" s="20"/>
      <c r="C117" s="10"/>
      <c r="D117" s="11"/>
      <c r="F117" s="20"/>
      <c r="G117" s="10"/>
      <c r="H117" s="11"/>
      <c r="I117" s="25"/>
      <c r="J117" s="25"/>
      <c r="K117" s="25"/>
      <c r="M117" s="20"/>
      <c r="N117" s="10"/>
      <c r="O117" s="11"/>
      <c r="P117" s="25"/>
      <c r="Q117" s="25"/>
      <c r="R117" s="25"/>
      <c r="T117" s="20"/>
      <c r="U117" s="10"/>
      <c r="V117" s="11"/>
      <c r="W117" s="25"/>
      <c r="X117" s="25"/>
      <c r="Y117" s="25"/>
      <c r="AA117" s="20"/>
      <c r="AB117" s="10"/>
      <c r="AC117" s="11"/>
      <c r="AD117" s="25"/>
      <c r="AE117" s="25"/>
      <c r="AF117" s="25"/>
      <c r="AH117" s="20"/>
      <c r="AI117" s="10"/>
      <c r="AJ117" s="11"/>
      <c r="AK117" s="25"/>
      <c r="AL117" s="25"/>
      <c r="AM117" s="25"/>
      <c r="AO117" s="20"/>
      <c r="AP117" s="10"/>
      <c r="AQ117" s="11"/>
      <c r="AR117" s="25"/>
      <c r="AS117" s="25"/>
      <c r="AT117" s="25"/>
      <c r="AV117" s="20"/>
      <c r="AW117" s="10"/>
      <c r="AX117" s="11"/>
      <c r="AY117" s="25"/>
      <c r="AZ117" s="25"/>
      <c r="BA117" s="25"/>
      <c r="BC117" s="20"/>
      <c r="BD117" s="10"/>
      <c r="BE117" s="11"/>
      <c r="BF117" s="25"/>
      <c r="BG117" s="25"/>
      <c r="BH117" s="25"/>
      <c r="BJ117" s="20"/>
      <c r="BK117" s="10"/>
      <c r="BL117" s="11"/>
      <c r="BM117" s="25"/>
      <c r="BN117" s="25"/>
      <c r="BO117" s="25"/>
      <c r="BQ117" s="20"/>
      <c r="BR117" s="10"/>
      <c r="BS117" s="11"/>
      <c r="BT117" s="25"/>
      <c r="BU117" s="25"/>
      <c r="BV117" s="25"/>
      <c r="BX117" s="20"/>
      <c r="BY117" s="10"/>
      <c r="BZ117" s="11"/>
      <c r="CA117" s="25"/>
      <c r="CB117" s="25"/>
      <c r="CC117" s="25"/>
      <c r="CE117" s="20"/>
      <c r="CF117" s="10"/>
      <c r="CG117" s="11"/>
      <c r="CH117" s="25"/>
      <c r="CI117" s="25"/>
      <c r="CJ117" s="25"/>
      <c r="CL117" s="20"/>
      <c r="CM117" s="10"/>
      <c r="CN117" s="11"/>
      <c r="CO117" s="25"/>
      <c r="CP117" s="25"/>
      <c r="CQ117" s="25"/>
      <c r="CS117" s="20"/>
      <c r="CT117" s="10"/>
      <c r="CU117" s="11"/>
      <c r="CV117" s="25"/>
      <c r="CW117" s="25"/>
      <c r="CX117" s="25"/>
      <c r="CZ117" s="20"/>
      <c r="DA117" s="10"/>
      <c r="DB117" s="11"/>
      <c r="DC117" s="25"/>
      <c r="DD117" s="25"/>
      <c r="DE117" s="25"/>
      <c r="DG117" s="20"/>
      <c r="DH117" s="10"/>
      <c r="DI117" s="11"/>
      <c r="DJ117" s="25"/>
      <c r="DK117" s="25"/>
      <c r="DL117" s="25"/>
      <c r="DM117" s="8"/>
      <c r="DN117" s="20"/>
      <c r="DO117" s="10"/>
      <c r="DP117" s="11"/>
      <c r="DQ117" s="25"/>
      <c r="DR117" s="25"/>
      <c r="DS117" s="25"/>
      <c r="DT117" s="8"/>
      <c r="DU117" s="20"/>
      <c r="DV117" s="10"/>
      <c r="DW117" s="11"/>
      <c r="DX117" s="25"/>
      <c r="DY117" s="25"/>
      <c r="DZ117" s="25"/>
      <c r="EA117" s="8"/>
      <c r="EB117" s="20"/>
      <c r="EC117" s="10"/>
      <c r="ED117" s="11"/>
      <c r="EE117" s="25"/>
      <c r="EF117" s="25"/>
      <c r="EG117" s="25"/>
      <c r="EH117" s="8"/>
      <c r="EI117" s="20"/>
      <c r="EJ117" s="10"/>
      <c r="EK117" s="11"/>
      <c r="EL117" s="25"/>
      <c r="EM117" s="25"/>
      <c r="EN117" s="25"/>
      <c r="EO117" s="8"/>
      <c r="EP117" s="6" t="s">
        <v>1</v>
      </c>
      <c r="EQ117" s="6" t="s">
        <v>1</v>
      </c>
      <c r="ER117" s="11">
        <v>91304</v>
      </c>
      <c r="ES117" s="6" t="s">
        <v>1</v>
      </c>
      <c r="ET117" s="6" t="s">
        <v>1</v>
      </c>
      <c r="EU117" s="6" t="s">
        <v>1</v>
      </c>
      <c r="EV117" s="8"/>
      <c r="EW117" s="6" t="s">
        <v>1</v>
      </c>
      <c r="EX117" s="6" t="s">
        <v>1</v>
      </c>
      <c r="EY117" s="11">
        <v>81748</v>
      </c>
      <c r="EZ117" s="11">
        <v>81748</v>
      </c>
      <c r="FA117" s="6" t="s">
        <v>1</v>
      </c>
      <c r="FB117" s="6" t="s">
        <v>1</v>
      </c>
      <c r="FC117" s="25">
        <f t="shared" si="427"/>
        <v>-10.466135109086125</v>
      </c>
      <c r="FD117" s="8"/>
      <c r="FE117" s="6" t="s">
        <v>1</v>
      </c>
      <c r="FF117" s="6" t="s">
        <v>1</v>
      </c>
      <c r="FG117" s="11">
        <v>208680</v>
      </c>
      <c r="FH117" s="11">
        <v>208680</v>
      </c>
      <c r="FI117" s="24" t="s">
        <v>1</v>
      </c>
      <c r="FJ117" s="24" t="s">
        <v>1</v>
      </c>
      <c r="FK117" s="25">
        <f>FG117*100/EY117-100</f>
        <v>155.27230023976122</v>
      </c>
      <c r="FL117" s="25">
        <f>FH117*100/EZ117-100</f>
        <v>155.27230023976122</v>
      </c>
      <c r="FM117" s="25"/>
      <c r="FN117" s="24" t="s">
        <v>1</v>
      </c>
      <c r="FO117" s="24" t="s">
        <v>1</v>
      </c>
      <c r="FP117" s="11">
        <v>75374</v>
      </c>
      <c r="FQ117" s="11">
        <v>75374</v>
      </c>
      <c r="FR117" s="24" t="s">
        <v>1</v>
      </c>
      <c r="FS117" s="24" t="s">
        <v>1</v>
      </c>
      <c r="FT117" s="23">
        <f>FP117*100/FG117-100</f>
        <v>-63.88058271036994</v>
      </c>
      <c r="FU117" s="23">
        <f>FQ117*100/FH117-100</f>
        <v>-63.88058271036994</v>
      </c>
      <c r="FV117" s="23"/>
      <c r="FW117" s="24" t="s">
        <v>1</v>
      </c>
      <c r="FX117" s="24" t="s">
        <v>1</v>
      </c>
      <c r="FY117" s="20">
        <v>291927</v>
      </c>
      <c r="FZ117" s="20">
        <v>291927</v>
      </c>
      <c r="GA117" s="24" t="s">
        <v>1</v>
      </c>
      <c r="GB117" s="24" t="s">
        <v>1</v>
      </c>
      <c r="GC117" s="23">
        <f>FY117*100/FP117-100</f>
        <v>287.30464085759013</v>
      </c>
      <c r="GD117" s="23">
        <f>FZ117*100/FQ117-100</f>
        <v>287.30464085759013</v>
      </c>
      <c r="GE117" s="23"/>
      <c r="GF117" s="24" t="s">
        <v>1</v>
      </c>
      <c r="GG117" s="24" t="s">
        <v>1</v>
      </c>
      <c r="GH117" s="20">
        <v>97266</v>
      </c>
      <c r="GI117" s="20">
        <v>97266</v>
      </c>
      <c r="GJ117" s="24" t="s">
        <v>1</v>
      </c>
      <c r="GK117" s="24" t="s">
        <v>1</v>
      </c>
      <c r="GL117" s="23">
        <f>GH117*100/FY117-100</f>
        <v>-66.68139637649139</v>
      </c>
      <c r="GM117" s="23">
        <f>GI117*100/FZ117-100</f>
        <v>-66.68139637649139</v>
      </c>
      <c r="GN117" s="23"/>
      <c r="GO117" s="24" t="s">
        <v>1</v>
      </c>
      <c r="GP117" s="24" t="s">
        <v>1</v>
      </c>
      <c r="GQ117" s="20">
        <v>82917</v>
      </c>
      <c r="GR117" s="20">
        <v>82917</v>
      </c>
      <c r="GS117" s="24" t="s">
        <v>1</v>
      </c>
      <c r="GT117" s="24" t="s">
        <v>1</v>
      </c>
      <c r="GU117" s="23">
        <f>GQ117*100/GH117-100</f>
        <v>-14.75232866572081</v>
      </c>
      <c r="GV117" s="23">
        <f>GR117*100/GI117-100</f>
        <v>-14.75232866572081</v>
      </c>
      <c r="GW117" s="23"/>
      <c r="GX117" s="24" t="s">
        <v>1</v>
      </c>
      <c r="GY117" s="24" t="s">
        <v>1</v>
      </c>
      <c r="GZ117" s="20">
        <v>98899</v>
      </c>
      <c r="HA117" s="20">
        <v>98899</v>
      </c>
      <c r="HB117" s="24" t="s">
        <v>1</v>
      </c>
      <c r="HC117" s="24" t="s">
        <v>1</v>
      </c>
      <c r="HD117" s="23">
        <f>GZ117*100/GQ117-100</f>
        <v>19.27469638313012</v>
      </c>
      <c r="HE117" s="23">
        <f>HA117*100/GR117-100</f>
        <v>19.27469638313012</v>
      </c>
      <c r="HF117" s="23"/>
      <c r="HG117" s="24" t="s">
        <v>1</v>
      </c>
      <c r="HH117" s="24" t="s">
        <v>1</v>
      </c>
      <c r="HI117" s="20">
        <v>111392</v>
      </c>
      <c r="HJ117" s="20">
        <v>111392</v>
      </c>
      <c r="HK117" s="24" t="s">
        <v>1</v>
      </c>
      <c r="HL117" s="24" t="s">
        <v>1</v>
      </c>
      <c r="HM117" s="23">
        <f>HI117*100/GZ117-100</f>
        <v>12.632079191902847</v>
      </c>
      <c r="HN117" s="23">
        <f>HJ117*100/HA117-100</f>
        <v>12.632079191902847</v>
      </c>
      <c r="HO117" s="23"/>
      <c r="HP117" s="24" t="s">
        <v>1</v>
      </c>
      <c r="HQ117" s="24" t="s">
        <v>1</v>
      </c>
      <c r="HR117" s="20"/>
      <c r="HS117" s="20"/>
      <c r="HT117" s="24" t="s">
        <v>1</v>
      </c>
      <c r="HU117" s="24" t="s">
        <v>1</v>
      </c>
      <c r="HV117" s="23">
        <f>HR117*100/HI117-100</f>
        <v>-100</v>
      </c>
      <c r="HW117" s="23">
        <f>HS117*100/HJ117-100</f>
        <v>-100</v>
      </c>
      <c r="HX117" s="23"/>
      <c r="HY117" s="24" t="s">
        <v>1</v>
      </c>
      <c r="HZ117" s="24" t="s">
        <v>1</v>
      </c>
      <c r="IA117" s="20"/>
      <c r="IB117" s="20"/>
      <c r="IC117" s="24" t="s">
        <v>1</v>
      </c>
      <c r="ID117" s="24" t="s">
        <v>1</v>
      </c>
      <c r="IE117" s="23" t="e">
        <f>IA117*100/HR117-100</f>
        <v>#DIV/0!</v>
      </c>
      <c r="IF117" s="23" t="e">
        <f>IB117*100/HS117-100</f>
        <v>#DIV/0!</v>
      </c>
      <c r="IG117" s="23"/>
      <c r="IH117" s="1"/>
      <c r="II117" s="29"/>
      <c r="IJ117" s="30"/>
      <c r="IK117" s="29"/>
      <c r="IL117" s="25"/>
      <c r="IM117" s="25"/>
      <c r="IN117" s="25"/>
      <c r="IP117" s="30"/>
      <c r="IQ117" s="30"/>
      <c r="IR117" s="30"/>
    </row>
    <row r="118" spans="1:252" ht="12.75" thickBot="1">
      <c r="A118" s="16"/>
      <c r="B118" s="21"/>
      <c r="C118" s="16"/>
      <c r="D118" s="16"/>
      <c r="E118" s="18"/>
      <c r="F118" s="21"/>
      <c r="G118" s="16"/>
      <c r="H118" s="16"/>
      <c r="I118" s="26"/>
      <c r="J118" s="26"/>
      <c r="K118" s="26"/>
      <c r="L118" s="18"/>
      <c r="M118" s="21"/>
      <c r="N118" s="16"/>
      <c r="O118" s="16"/>
      <c r="P118" s="26"/>
      <c r="Q118" s="26"/>
      <c r="R118" s="26"/>
      <c r="S118" s="18"/>
      <c r="T118" s="21"/>
      <c r="U118" s="16"/>
      <c r="V118" s="16"/>
      <c r="W118" s="26"/>
      <c r="X118" s="26"/>
      <c r="Y118" s="26"/>
      <c r="Z118" s="18"/>
      <c r="AA118" s="21"/>
      <c r="AB118" s="16"/>
      <c r="AC118" s="16"/>
      <c r="AD118" s="26"/>
      <c r="AE118" s="26"/>
      <c r="AF118" s="26"/>
      <c r="AG118" s="18"/>
      <c r="AH118" s="21"/>
      <c r="AI118" s="16"/>
      <c r="AJ118" s="16"/>
      <c r="AK118" s="26"/>
      <c r="AL118" s="26"/>
      <c r="AM118" s="26"/>
      <c r="AN118" s="18"/>
      <c r="AO118" s="21"/>
      <c r="AP118" s="16"/>
      <c r="AQ118" s="16"/>
      <c r="AR118" s="26"/>
      <c r="AS118" s="26"/>
      <c r="AT118" s="26"/>
      <c r="AU118" s="18"/>
      <c r="AV118" s="21"/>
      <c r="AW118" s="16"/>
      <c r="AX118" s="16"/>
      <c r="AY118" s="26"/>
      <c r="AZ118" s="26"/>
      <c r="BA118" s="26"/>
      <c r="BB118" s="18"/>
      <c r="BC118" s="21"/>
      <c r="BD118" s="16"/>
      <c r="BE118" s="16"/>
      <c r="BF118" s="26"/>
      <c r="BG118" s="26"/>
      <c r="BH118" s="26"/>
      <c r="BI118" s="18"/>
      <c r="BJ118" s="21"/>
      <c r="BK118" s="16"/>
      <c r="BL118" s="16"/>
      <c r="BM118" s="26"/>
      <c r="BN118" s="26"/>
      <c r="BO118" s="26"/>
      <c r="BP118" s="18"/>
      <c r="BQ118" s="21"/>
      <c r="BR118" s="16"/>
      <c r="BS118" s="16"/>
      <c r="BT118" s="26"/>
      <c r="BU118" s="26"/>
      <c r="BV118" s="26"/>
      <c r="BW118" s="18"/>
      <c r="BX118" s="21"/>
      <c r="BY118" s="16"/>
      <c r="BZ118" s="16"/>
      <c r="CA118" s="26"/>
      <c r="CB118" s="26"/>
      <c r="CC118" s="26"/>
      <c r="CD118" s="18"/>
      <c r="CE118" s="21"/>
      <c r="CF118" s="16"/>
      <c r="CG118" s="16"/>
      <c r="CH118" s="26"/>
      <c r="CI118" s="26"/>
      <c r="CJ118" s="26"/>
      <c r="CK118" s="18"/>
      <c r="CL118" s="21"/>
      <c r="CM118" s="16"/>
      <c r="CN118" s="16"/>
      <c r="CO118" s="26"/>
      <c r="CP118" s="26"/>
      <c r="CQ118" s="26"/>
      <c r="CR118" s="18"/>
      <c r="CS118" s="21"/>
      <c r="CT118" s="16"/>
      <c r="CU118" s="16"/>
      <c r="CV118" s="26"/>
      <c r="CW118" s="26"/>
      <c r="CX118" s="26"/>
      <c r="CY118" s="18"/>
      <c r="CZ118" s="21"/>
      <c r="DA118" s="16"/>
      <c r="DB118" s="16"/>
      <c r="DC118" s="26"/>
      <c r="DD118" s="26"/>
      <c r="DE118" s="26"/>
      <c r="DF118" s="18"/>
      <c r="DG118" s="21"/>
      <c r="DH118" s="16"/>
      <c r="DI118" s="16"/>
      <c r="DJ118" s="26"/>
      <c r="DK118" s="26"/>
      <c r="DL118" s="26"/>
      <c r="DM118" s="18"/>
      <c r="DN118" s="21"/>
      <c r="DO118" s="16"/>
      <c r="DP118" s="16"/>
      <c r="DQ118" s="26"/>
      <c r="DR118" s="26"/>
      <c r="DS118" s="26"/>
      <c r="DT118" s="18"/>
      <c r="DU118" s="21"/>
      <c r="DV118" s="16"/>
      <c r="DW118" s="16"/>
      <c r="DX118" s="26"/>
      <c r="DY118" s="26"/>
      <c r="DZ118" s="26"/>
      <c r="EA118" s="18"/>
      <c r="EB118" s="21"/>
      <c r="EC118" s="16"/>
      <c r="ED118" s="16"/>
      <c r="EE118" s="26"/>
      <c r="EF118" s="26"/>
      <c r="EG118" s="26"/>
      <c r="EH118" s="18"/>
      <c r="EI118" s="21"/>
      <c r="EJ118" s="16"/>
      <c r="EK118" s="16"/>
      <c r="EL118" s="26"/>
      <c r="EM118" s="26"/>
      <c r="EN118" s="26"/>
      <c r="EO118" s="18"/>
      <c r="EP118" s="21"/>
      <c r="EQ118" s="16"/>
      <c r="ER118" s="16"/>
      <c r="ES118" s="26"/>
      <c r="ET118" s="26"/>
      <c r="EU118" s="26"/>
      <c r="EV118" s="26"/>
      <c r="EW118" s="21"/>
      <c r="EX118" s="16"/>
      <c r="EY118" s="16"/>
      <c r="EZ118" s="16"/>
      <c r="FA118" s="26"/>
      <c r="FB118" s="26"/>
      <c r="FC118" s="26"/>
      <c r="FD118" s="18"/>
      <c r="FE118" s="16"/>
      <c r="FF118" s="16"/>
      <c r="FG118" s="16"/>
      <c r="FH118" s="16"/>
      <c r="FI118" s="26"/>
      <c r="FJ118" s="26"/>
      <c r="FK118" s="26"/>
      <c r="FL118" s="26"/>
      <c r="FM118" s="26"/>
      <c r="FN118" s="16"/>
      <c r="FO118" s="16"/>
      <c r="FP118" s="16"/>
      <c r="FQ118" s="16"/>
      <c r="FR118" s="26"/>
      <c r="FS118" s="26"/>
      <c r="FT118" s="26"/>
      <c r="FU118" s="26"/>
      <c r="FV118" s="26"/>
      <c r="FW118" s="16"/>
      <c r="FX118" s="16"/>
      <c r="FY118" s="16"/>
      <c r="FZ118" s="16"/>
      <c r="GA118" s="26"/>
      <c r="GB118" s="26"/>
      <c r="GC118" s="26"/>
      <c r="GD118" s="26"/>
      <c r="GE118" s="26"/>
      <c r="GF118" s="16"/>
      <c r="GG118" s="16"/>
      <c r="GH118" s="16"/>
      <c r="GI118" s="16"/>
      <c r="GJ118" s="26"/>
      <c r="GK118" s="26"/>
      <c r="GL118" s="26"/>
      <c r="GM118" s="26"/>
      <c r="GN118" s="26"/>
      <c r="GO118" s="16"/>
      <c r="GP118" s="16"/>
      <c r="GQ118" s="16"/>
      <c r="GR118" s="16"/>
      <c r="GS118" s="26"/>
      <c r="GT118" s="26"/>
      <c r="GU118" s="26"/>
      <c r="GV118" s="26"/>
      <c r="GW118" s="26"/>
      <c r="GX118" s="16"/>
      <c r="GY118" s="16"/>
      <c r="GZ118" s="16"/>
      <c r="HA118" s="16"/>
      <c r="HB118" s="26"/>
      <c r="HC118" s="26"/>
      <c r="HD118" s="26"/>
      <c r="HE118" s="26"/>
      <c r="HF118" s="26"/>
      <c r="HG118" s="16"/>
      <c r="HH118" s="16"/>
      <c r="HI118" s="16"/>
      <c r="HJ118" s="16"/>
      <c r="HK118" s="26"/>
      <c r="HL118" s="26"/>
      <c r="HM118" s="26"/>
      <c r="HN118" s="26"/>
      <c r="HO118" s="26"/>
      <c r="HP118" s="16"/>
      <c r="HQ118" s="16"/>
      <c r="HR118" s="16"/>
      <c r="HS118" s="16"/>
      <c r="HT118" s="26"/>
      <c r="HU118" s="26"/>
      <c r="HV118" s="26"/>
      <c r="HW118" s="26"/>
      <c r="HX118" s="26"/>
      <c r="HY118" s="16"/>
      <c r="HZ118" s="16"/>
      <c r="IA118" s="16"/>
      <c r="IB118" s="16"/>
      <c r="IC118" s="26"/>
      <c r="ID118" s="26"/>
      <c r="IE118" s="26"/>
      <c r="IF118" s="26"/>
      <c r="IG118" s="44"/>
      <c r="IH118" s="28"/>
      <c r="II118" s="28"/>
      <c r="IJ118" s="28"/>
      <c r="IK118" s="28"/>
      <c r="IL118" s="28"/>
      <c r="IM118" s="28"/>
      <c r="IN118" s="28"/>
      <c r="IP118" s="38"/>
      <c r="IQ118" s="38"/>
      <c r="IR118" s="38"/>
    </row>
    <row r="119" spans="1:241" ht="12.75" thickTop="1">
      <c r="A119" s="1" t="s">
        <v>112</v>
      </c>
      <c r="B119" s="19">
        <f>SUM(B12:B21)</f>
        <v>397684</v>
      </c>
      <c r="C119" s="6" t="s">
        <v>1</v>
      </c>
      <c r="D119" s="19">
        <f>SUM(D12:D21)</f>
        <v>20452000</v>
      </c>
      <c r="E119" s="9"/>
      <c r="F119" s="19">
        <f>SUM(F12:F21)</f>
        <v>403097</v>
      </c>
      <c r="G119" s="6" t="s">
        <v>1</v>
      </c>
      <c r="H119" s="19">
        <f>SUM(H12:H21)</f>
        <v>21145200</v>
      </c>
      <c r="I119" s="23">
        <f>F119*100/B119-100</f>
        <v>1.3611309481900236</v>
      </c>
      <c r="J119" s="24" t="s">
        <v>1</v>
      </c>
      <c r="K119" s="23">
        <f>H119*100/D119-100</f>
        <v>3.389399569724233</v>
      </c>
      <c r="L119" s="8"/>
      <c r="M119" s="19">
        <f>SUM(M12:M21)</f>
        <v>392137</v>
      </c>
      <c r="N119" s="6" t="s">
        <v>1</v>
      </c>
      <c r="O119" s="19">
        <f>SUM(O12:O21)</f>
        <v>22663400</v>
      </c>
      <c r="P119" s="23">
        <f>M119*100/F119-100</f>
        <v>-2.7189485409219145</v>
      </c>
      <c r="Q119" s="24" t="s">
        <v>1</v>
      </c>
      <c r="R119" s="23">
        <f>O119*100/H119-100</f>
        <v>7.179880067343888</v>
      </c>
      <c r="S119" s="8"/>
      <c r="T119" s="19">
        <f>SUM(T12:T21)</f>
        <v>388331</v>
      </c>
      <c r="U119" s="6" t="s">
        <v>1</v>
      </c>
      <c r="V119" s="19">
        <f>SUM(V12:V21)</f>
        <v>19820600</v>
      </c>
      <c r="W119" s="23">
        <f>T119*100/M119-100</f>
        <v>-0.9705791598344433</v>
      </c>
      <c r="X119" s="24" t="s">
        <v>1</v>
      </c>
      <c r="Y119" s="23">
        <f>V119*100/O119-100</f>
        <v>-12.543572456030432</v>
      </c>
      <c r="Z119" s="8"/>
      <c r="AA119" s="19">
        <f>SUM(AA12:AA21)</f>
        <v>384557</v>
      </c>
      <c r="AB119" s="6" t="s">
        <v>1</v>
      </c>
      <c r="AC119" s="19">
        <f>SUM(AC12:AC21)</f>
        <v>19269100</v>
      </c>
      <c r="AD119" s="23">
        <f>AA119*100/T119-100</f>
        <v>-0.971851333012296</v>
      </c>
      <c r="AE119" s="24" t="s">
        <v>1</v>
      </c>
      <c r="AF119" s="23">
        <f>AC119*100/V119-100</f>
        <v>-2.782458654127524</v>
      </c>
      <c r="AG119" s="8"/>
      <c r="AH119" s="19">
        <f>SUM(AH12:AH21)</f>
        <v>384513</v>
      </c>
      <c r="AI119" s="6" t="s">
        <v>1</v>
      </c>
      <c r="AJ119" s="19">
        <f>SUM(AJ12:AJ21)</f>
        <v>22279000</v>
      </c>
      <c r="AK119" s="23">
        <f>AH119*100/AA119-100</f>
        <v>-0.011441736855658746</v>
      </c>
      <c r="AL119" s="24" t="s">
        <v>1</v>
      </c>
      <c r="AM119" s="23">
        <f>AJ119*100/AC119-100</f>
        <v>15.620345527295001</v>
      </c>
      <c r="AN119" s="8"/>
      <c r="AO119" s="19">
        <f>SUM(AO12:AO21)</f>
        <v>401850</v>
      </c>
      <c r="AP119" s="6" t="s">
        <v>1</v>
      </c>
      <c r="AQ119" s="19">
        <f>SUM(AQ12:AQ21)</f>
        <v>22939400</v>
      </c>
      <c r="AR119" s="23">
        <f>AO119*100/AH119-100</f>
        <v>4.508820247949998</v>
      </c>
      <c r="AS119" s="24" t="s">
        <v>1</v>
      </c>
      <c r="AT119" s="23">
        <f>AQ119*100/AJ119-100</f>
        <v>2.964226401544053</v>
      </c>
      <c r="AU119" s="8"/>
      <c r="AV119" s="19">
        <f>SUM(AV12:AV21)</f>
        <v>402494</v>
      </c>
      <c r="AW119" s="6" t="s">
        <v>1</v>
      </c>
      <c r="AX119" s="19">
        <f>SUM(AX12:AX21)</f>
        <v>25859265</v>
      </c>
      <c r="AY119" s="23">
        <f>AV119*100/AO119-100</f>
        <v>0.1602588030359584</v>
      </c>
      <c r="AZ119" s="24" t="s">
        <v>1</v>
      </c>
      <c r="BA119" s="23">
        <f>AX119*100/AQ119-100</f>
        <v>12.728602317410221</v>
      </c>
      <c r="BB119" s="8"/>
      <c r="BC119" s="19">
        <f>SUM(BC12:BC21)</f>
        <v>402667</v>
      </c>
      <c r="BD119" s="6" t="s">
        <v>1</v>
      </c>
      <c r="BE119" s="19">
        <f>SUM(BE12:BE21)</f>
        <v>24825981</v>
      </c>
      <c r="BF119" s="23">
        <f>BC119*100/AV119-100</f>
        <v>0.042982007185202065</v>
      </c>
      <c r="BG119" s="24" t="s">
        <v>1</v>
      </c>
      <c r="BH119" s="23">
        <f>BE119*100/AX119-100</f>
        <v>-3.995798024421802</v>
      </c>
      <c r="BI119" s="8"/>
      <c r="BJ119" s="19">
        <f>SUM(BJ12:BJ21)</f>
        <v>373637</v>
      </c>
      <c r="BK119" s="6" t="s">
        <v>1</v>
      </c>
      <c r="BL119" s="19">
        <f>SUM(BL12:BL21)</f>
        <v>23007866</v>
      </c>
      <c r="BM119" s="23">
        <f>BJ119*100/BC119-100</f>
        <v>-7.209431118020603</v>
      </c>
      <c r="BN119" s="24" t="s">
        <v>1</v>
      </c>
      <c r="BO119" s="23">
        <f>BL119*100/BE119-100</f>
        <v>-7.323436685140464</v>
      </c>
      <c r="BP119" s="8"/>
      <c r="BQ119" s="19">
        <f>SUM(BQ12:BQ21)</f>
        <v>381530</v>
      </c>
      <c r="BR119" s="6" t="s">
        <v>1</v>
      </c>
      <c r="BS119" s="19">
        <f>SUM(BS12:BS21)</f>
        <v>22600834</v>
      </c>
      <c r="BT119" s="23">
        <f>BQ119*100/BJ119-100</f>
        <v>2.112478153930155</v>
      </c>
      <c r="BU119" s="24" t="s">
        <v>1</v>
      </c>
      <c r="BV119" s="23">
        <f>BS119*100/BL119-100</f>
        <v>-1.7690993158600605</v>
      </c>
      <c r="BW119" s="8"/>
      <c r="BX119" s="19">
        <f>SUM(BX12:BX21)</f>
        <v>384975</v>
      </c>
      <c r="BY119" s="6" t="s">
        <v>1</v>
      </c>
      <c r="BZ119" s="19">
        <f>SUM(BZ12:BZ21)</f>
        <v>23687699</v>
      </c>
      <c r="CA119" s="23">
        <f>BX119*100/BQ119-100</f>
        <v>0.9029434120514708</v>
      </c>
      <c r="CB119" s="24" t="s">
        <v>1</v>
      </c>
      <c r="CC119" s="23">
        <f>BZ119*100/BS119-100</f>
        <v>4.808959704761335</v>
      </c>
      <c r="CD119" s="8"/>
      <c r="CE119" s="19">
        <f>SUM(CE12:CE21)</f>
        <v>365284</v>
      </c>
      <c r="CF119" s="6" t="s">
        <v>1</v>
      </c>
      <c r="CG119" s="19">
        <f>SUM(CG12:CG21)</f>
        <v>22201927</v>
      </c>
      <c r="CH119" s="23">
        <f>CE119*100/BX119-100</f>
        <v>-5.1148775894538545</v>
      </c>
      <c r="CI119" s="24" t="s">
        <v>1</v>
      </c>
      <c r="CJ119" s="23">
        <f>CG119*100/BZ119-100</f>
        <v>-6.272335696261592</v>
      </c>
      <c r="CK119" s="8"/>
      <c r="CL119" s="19">
        <f>SUM(CL12:CL21)</f>
        <v>364629</v>
      </c>
      <c r="CM119" s="6" t="s">
        <v>1</v>
      </c>
      <c r="CN119" s="19">
        <f>SUM(CN12:CN21)</f>
        <v>23986746</v>
      </c>
      <c r="CO119" s="23">
        <f>CL119*100/CE119-100</f>
        <v>-0.17931253490435495</v>
      </c>
      <c r="CP119" s="24" t="s">
        <v>1</v>
      </c>
      <c r="CQ119" s="23">
        <f>CN119*100/CG119-100</f>
        <v>8.039027423160164</v>
      </c>
      <c r="CR119" s="8"/>
      <c r="CS119" s="19">
        <f>SUM(CS12:CS21)</f>
        <v>386729</v>
      </c>
      <c r="CT119" s="6" t="s">
        <v>1</v>
      </c>
      <c r="CU119" s="19">
        <f>SUM(CU12:CU21)</f>
        <v>24640745</v>
      </c>
      <c r="CV119" s="23">
        <f>CS119*100/CL119-100</f>
        <v>6.0609551077944985</v>
      </c>
      <c r="CW119" s="24" t="s">
        <v>1</v>
      </c>
      <c r="CX119" s="23">
        <f>CU119*100/CN119-100</f>
        <v>2.7265015438108975</v>
      </c>
      <c r="CY119" s="8"/>
      <c r="CZ119" s="19">
        <f>SUM(CZ12:CZ21)</f>
        <v>393105</v>
      </c>
      <c r="DA119" s="6" t="s">
        <v>1</v>
      </c>
      <c r="DB119" s="19">
        <f>SUM(DB12:DB21)</f>
        <v>26196145</v>
      </c>
      <c r="DC119" s="23">
        <f>CZ119*100/CS119-100</f>
        <v>1.6486997354736843</v>
      </c>
      <c r="DD119" s="24" t="s">
        <v>1</v>
      </c>
      <c r="DE119" s="23">
        <f>DB119*100/CU119-100</f>
        <v>6.312309144873666</v>
      </c>
      <c r="DF119" s="8"/>
      <c r="DG119" s="19">
        <f>SUM(DG12:DG21)</f>
        <v>395877</v>
      </c>
      <c r="DH119" s="6" t="s">
        <v>1</v>
      </c>
      <c r="DI119" s="19">
        <f>SUM(DI12:DI21)</f>
        <v>25221985</v>
      </c>
      <c r="DJ119" s="23">
        <f>DG119*100/CZ119-100</f>
        <v>0.7051551112298284</v>
      </c>
      <c r="DK119" s="24" t="s">
        <v>1</v>
      </c>
      <c r="DL119" s="23">
        <f>DI119*100/DB119-100</f>
        <v>-3.71871510101964</v>
      </c>
      <c r="DM119" s="8"/>
      <c r="DN119" s="19">
        <f>SUM(DN12:DN21)</f>
        <v>403609</v>
      </c>
      <c r="DO119" s="6" t="s">
        <v>1</v>
      </c>
      <c r="DP119" s="19">
        <f>SUM(DP12:DP21)</f>
        <v>27108230</v>
      </c>
      <c r="DQ119" s="23">
        <f>DN119*100/DG119-100</f>
        <v>1.9531319071327715</v>
      </c>
      <c r="DR119" s="24" t="s">
        <v>1</v>
      </c>
      <c r="DS119" s="23">
        <f>DP119*100/DI119-100</f>
        <v>7.478574743423252</v>
      </c>
      <c r="DT119" s="8"/>
      <c r="DU119" s="19">
        <f>SUM(DU12:DU21)</f>
        <v>389921</v>
      </c>
      <c r="DV119" s="6" t="s">
        <v>1</v>
      </c>
      <c r="DW119" s="19">
        <f>SUM(DW12:DW21)</f>
        <v>23588263</v>
      </c>
      <c r="DX119" s="23">
        <f>DU119*100/DN119-100</f>
        <v>-3.3914010837221156</v>
      </c>
      <c r="DY119" s="24" t="s">
        <v>1</v>
      </c>
      <c r="DZ119" s="23">
        <f>DW119*100/DP119-100</f>
        <v>-12.984864744027917</v>
      </c>
      <c r="EA119" s="8"/>
      <c r="EB119" s="19">
        <f>SUM(EB12:EB21)</f>
        <v>392639</v>
      </c>
      <c r="EC119" s="6" t="s">
        <v>1</v>
      </c>
      <c r="ED119" s="19">
        <f>SUM(ED12:ED21)</f>
        <v>28972384</v>
      </c>
      <c r="EE119" s="23">
        <f>EB119*100/DU119-100</f>
        <v>0.6970642771228057</v>
      </c>
      <c r="EF119" s="24" t="s">
        <v>1</v>
      </c>
      <c r="EG119" s="23">
        <f>ED119*100/DW119-100</f>
        <v>22.82542381352964</v>
      </c>
      <c r="EH119" s="8"/>
      <c r="EI119" s="19">
        <f>SUM(EI12:EI21)</f>
        <v>370885</v>
      </c>
      <c r="EJ119" s="6" t="s">
        <v>1</v>
      </c>
      <c r="EK119" s="19">
        <f>SUM(EK12:EK21)</f>
        <v>25971378</v>
      </c>
      <c r="EL119" s="23">
        <f>EI119*100/EB119-100</f>
        <v>-5.540458283563268</v>
      </c>
      <c r="EM119" s="24" t="s">
        <v>1</v>
      </c>
      <c r="EN119" s="23">
        <f>EK119*100/ED119-100</f>
        <v>-10.358160377827389</v>
      </c>
      <c r="EO119" s="8"/>
      <c r="EP119" s="19">
        <f>SUM(EP12:EP21)</f>
        <v>378623</v>
      </c>
      <c r="EQ119" s="6" t="s">
        <v>1</v>
      </c>
      <c r="ER119" s="19">
        <f>SUM(ER12:ER21)</f>
        <v>25399655</v>
      </c>
      <c r="ES119" s="23">
        <f>EP119*100/EI119-100</f>
        <v>2.0863610013885676</v>
      </c>
      <c r="ET119" s="24" t="s">
        <v>1</v>
      </c>
      <c r="EU119" s="23">
        <f>ER119*100/EK119-100</f>
        <v>-2.201357971841162</v>
      </c>
      <c r="EV119" s="8"/>
      <c r="EW119" s="19">
        <f>SUM(EW12:EW21)</f>
        <v>400214</v>
      </c>
      <c r="EX119" s="6" t="s">
        <v>1</v>
      </c>
      <c r="EY119" s="19">
        <f>SUM(EY12:EY21)</f>
        <v>23590240</v>
      </c>
      <c r="EZ119" s="19">
        <f>SUM(EZ12:EZ21)</f>
        <v>23588753</v>
      </c>
      <c r="FA119" s="23">
        <f>EW119*100/EP119-100</f>
        <v>5.702506186893032</v>
      </c>
      <c r="FB119" s="24" t="s">
        <v>1</v>
      </c>
      <c r="FC119" s="23">
        <f>EZ119*100/ER119-100</f>
        <v>-7.129632272564336</v>
      </c>
      <c r="FD119" s="8"/>
      <c r="FE119" s="19">
        <f>SUM(FE12:FE21)</f>
        <v>428821</v>
      </c>
      <c r="FF119" s="6" t="s">
        <v>1</v>
      </c>
      <c r="FG119" s="19">
        <f>SUM(FG12:FG21)</f>
        <v>29625078</v>
      </c>
      <c r="FH119" s="19">
        <f>SUM(FH12:FH21)</f>
        <v>29601353</v>
      </c>
      <c r="FI119" s="23">
        <f>FE119*100/EW119-100</f>
        <v>7.147925859665079</v>
      </c>
      <c r="FJ119" s="24" t="s">
        <v>1</v>
      </c>
      <c r="FK119" s="23">
        <f aca="true" t="shared" si="468" ref="FK119:FL122">FG119*100/EY119-100</f>
        <v>25.581927102055772</v>
      </c>
      <c r="FL119" s="23">
        <f t="shared" si="468"/>
        <v>25.489266007406158</v>
      </c>
      <c r="FM119" s="23"/>
      <c r="FN119" s="19">
        <f>SUM(FN12:FN21)</f>
        <v>395260</v>
      </c>
      <c r="FO119" s="6" t="s">
        <v>1</v>
      </c>
      <c r="FP119" s="19">
        <f>SUM(FP12:FP21)</f>
        <v>25317815</v>
      </c>
      <c r="FQ119" s="19">
        <f>SUM(FQ12:FQ21)</f>
        <v>25317115</v>
      </c>
      <c r="FR119" s="23">
        <f t="shared" si="461"/>
        <v>-7.826342459907508</v>
      </c>
      <c r="FS119" s="24" t="s">
        <v>1</v>
      </c>
      <c r="FT119" s="23">
        <f t="shared" si="368"/>
        <v>-14.539246107638945</v>
      </c>
      <c r="FU119" s="23">
        <f t="shared" si="368"/>
        <v>-14.47311546874225</v>
      </c>
      <c r="FV119" s="23"/>
      <c r="FW119" s="19">
        <f>SUM(FW12:FW21)</f>
        <v>375545</v>
      </c>
      <c r="FX119" s="6" t="s">
        <v>1</v>
      </c>
      <c r="FY119" s="19">
        <f>SUM(FY12:FY21)</f>
        <v>26045151</v>
      </c>
      <c r="FZ119" s="19">
        <f>SUM(FZ12:FZ21)</f>
        <v>26036571</v>
      </c>
      <c r="GA119" s="23">
        <f t="shared" si="462"/>
        <v>-4.98785609472246</v>
      </c>
      <c r="GB119" s="23" t="e">
        <f t="shared" si="462"/>
        <v>#DIV/0!</v>
      </c>
      <c r="GC119" s="23">
        <f t="shared" si="462"/>
        <v>2.8728229509537044</v>
      </c>
      <c r="GD119" s="23">
        <f t="shared" si="462"/>
        <v>2.8417771930174496</v>
      </c>
      <c r="GE119" s="23"/>
      <c r="GF119" s="19">
        <f>SUM(GF12:GF21)</f>
        <v>367555</v>
      </c>
      <c r="GG119" s="6" t="s">
        <v>1</v>
      </c>
      <c r="GH119" s="19">
        <f>SUM(GH12:GH21)</f>
        <v>28870998</v>
      </c>
      <c r="GI119" s="19">
        <f>SUM(GI12:GI21)</f>
        <v>28866848</v>
      </c>
      <c r="GJ119" s="23">
        <f>GF119*100/FW119-100</f>
        <v>-2.1275745915935573</v>
      </c>
      <c r="GK119" s="24" t="s">
        <v>1</v>
      </c>
      <c r="GL119" s="23">
        <f t="shared" si="363"/>
        <v>10.849800794013447</v>
      </c>
      <c r="GM119" s="23">
        <f t="shared" si="363"/>
        <v>10.870390728487251</v>
      </c>
      <c r="GN119" s="23"/>
      <c r="GO119" s="19">
        <f>SUM(GO12:GO21)</f>
        <v>376778</v>
      </c>
      <c r="GP119" s="6" t="s">
        <v>1</v>
      </c>
      <c r="GQ119" s="19">
        <f>SUM(GQ12:GQ21)</f>
        <v>23851768</v>
      </c>
      <c r="GR119" s="19">
        <f>SUM(GR12:GR21)</f>
        <v>23851768</v>
      </c>
      <c r="GS119" s="23">
        <f>GO119*100/GF119-100</f>
        <v>2.5092843247949332</v>
      </c>
      <c r="GT119" s="24" t="s">
        <v>1</v>
      </c>
      <c r="GU119" s="23">
        <f aca="true" t="shared" si="469" ref="GU119:GV122">GQ119*100/GH119-100</f>
        <v>-17.385024237818172</v>
      </c>
      <c r="GV119" s="23">
        <f t="shared" si="469"/>
        <v>-17.373147217181454</v>
      </c>
      <c r="GW119" s="23"/>
      <c r="GX119" s="19">
        <f>SUM(GX12:GX21)</f>
        <v>371775</v>
      </c>
      <c r="GY119" s="6" t="s">
        <v>1</v>
      </c>
      <c r="GZ119" s="19">
        <f>SUM(GZ12:GZ21)</f>
        <v>23881196</v>
      </c>
      <c r="HA119" s="19">
        <f>SUM(HA12:HA21)</f>
        <v>23880860</v>
      </c>
      <c r="HB119" s="23">
        <f>GX119*100/GO119-100</f>
        <v>-1.3278376125994669</v>
      </c>
      <c r="HC119" s="24" t="s">
        <v>1</v>
      </c>
      <c r="HD119" s="23">
        <f aca="true" t="shared" si="470" ref="HD119:HE122">GZ119*100/GQ119-100</f>
        <v>0.12337869461082107</v>
      </c>
      <c r="HE119" s="23">
        <f t="shared" si="470"/>
        <v>0.1219699940063208</v>
      </c>
      <c r="HF119" s="23"/>
      <c r="HG119" s="19">
        <f>SUM(HG12:HG21)</f>
        <v>343860</v>
      </c>
      <c r="HH119" s="6" t="s">
        <v>1</v>
      </c>
      <c r="HI119" s="19">
        <f>SUM(HI12:HI21)</f>
        <v>24369965</v>
      </c>
      <c r="HJ119" s="19">
        <f>SUM(HJ12:HJ21)</f>
        <v>24357751</v>
      </c>
      <c r="HK119" s="23">
        <f>HG119*100/GX119-100</f>
        <v>-7.508573734113369</v>
      </c>
      <c r="HL119" s="24" t="s">
        <v>1</v>
      </c>
      <c r="HM119" s="23">
        <f aca="true" t="shared" si="471" ref="HM119:HN122">HI119*100/GZ119-100</f>
        <v>2.0466688519285157</v>
      </c>
      <c r="HN119" s="23">
        <f t="shared" si="471"/>
        <v>1.9969590709882254</v>
      </c>
      <c r="HO119" s="23"/>
      <c r="HP119" s="19">
        <f>SUM(HP12:HP21)</f>
        <v>332056</v>
      </c>
      <c r="HQ119" s="6" t="s">
        <v>1</v>
      </c>
      <c r="HR119" s="19">
        <f>SUM(HR12:HR21)</f>
        <v>22913646</v>
      </c>
      <c r="HS119" s="19">
        <f>SUM(HS12:HS21)</f>
        <v>22913646</v>
      </c>
      <c r="HT119" s="23">
        <f>HP119*100/HG119-100</f>
        <v>-3.4327924155179375</v>
      </c>
      <c r="HU119" s="24" t="s">
        <v>1</v>
      </c>
      <c r="HV119" s="23">
        <f aca="true" t="shared" si="472" ref="HV119:HW122">HR119*100/HI119-100</f>
        <v>-5.975876452838563</v>
      </c>
      <c r="HW119" s="23">
        <f t="shared" si="472"/>
        <v>-5.928728805873746</v>
      </c>
      <c r="HX119" s="23"/>
      <c r="HY119" s="19">
        <f>SUM(HY12:HY21)</f>
        <v>342689</v>
      </c>
      <c r="HZ119" s="6" t="s">
        <v>1</v>
      </c>
      <c r="IA119" s="19">
        <f>SUM(IA12:IA21)</f>
        <v>24615231</v>
      </c>
      <c r="IB119" s="19">
        <f>SUM(IB12:IB21)</f>
        <v>24615031</v>
      </c>
      <c r="IC119" s="23">
        <f>HY119*100/HP119-100</f>
        <v>3.2021707181921073</v>
      </c>
      <c r="ID119" s="24" t="s">
        <v>1</v>
      </c>
      <c r="IE119" s="23">
        <f aca="true" t="shared" si="473" ref="IE119:IF122">IA119*100/HR119-100</f>
        <v>7.4260770197811325</v>
      </c>
      <c r="IF119" s="23">
        <f t="shared" si="473"/>
        <v>7.425204177458269</v>
      </c>
      <c r="IG119" s="23"/>
    </row>
    <row r="120" spans="1:241" ht="12">
      <c r="A120" s="1" t="s">
        <v>113</v>
      </c>
      <c r="B120" s="19">
        <f>SUM(B23:B28)</f>
        <v>1107</v>
      </c>
      <c r="C120" s="6" t="s">
        <v>1</v>
      </c>
      <c r="D120" s="9">
        <f>SUM(D23:D28)</f>
        <v>21300</v>
      </c>
      <c r="E120" s="9"/>
      <c r="F120" s="19">
        <f>SUM(F23:F28)</f>
        <v>645</v>
      </c>
      <c r="G120" s="6" t="s">
        <v>1</v>
      </c>
      <c r="H120" s="9">
        <f>SUM(H23:H28)</f>
        <v>15112</v>
      </c>
      <c r="I120" s="23">
        <f>F120*100/B120-100</f>
        <v>-41.734417344173444</v>
      </c>
      <c r="J120" s="24" t="s">
        <v>1</v>
      </c>
      <c r="K120" s="23">
        <f>H120*100/D120-100</f>
        <v>-29.051643192488257</v>
      </c>
      <c r="L120" s="8"/>
      <c r="M120" s="19">
        <f>SUM(M23:M28)</f>
        <v>1122</v>
      </c>
      <c r="N120" s="6" t="s">
        <v>1</v>
      </c>
      <c r="O120" s="9">
        <f>SUM(O23:O28)</f>
        <v>25300</v>
      </c>
      <c r="P120" s="23">
        <f>M120*100/F120-100</f>
        <v>73.95348837209303</v>
      </c>
      <c r="Q120" s="24" t="s">
        <v>1</v>
      </c>
      <c r="R120" s="23">
        <f>O120*100/H120-100</f>
        <v>67.41662255161461</v>
      </c>
      <c r="S120" s="8"/>
      <c r="T120" s="19">
        <f>SUM(T23:T28)</f>
        <v>1339</v>
      </c>
      <c r="U120" s="6" t="s">
        <v>1</v>
      </c>
      <c r="V120" s="9">
        <f>SUM(V23:V28)</f>
        <v>38200</v>
      </c>
      <c r="W120" s="23">
        <f>T120*100/M120-100</f>
        <v>19.34046345811052</v>
      </c>
      <c r="X120" s="24" t="s">
        <v>1</v>
      </c>
      <c r="Y120" s="23">
        <f>V120*100/O120-100</f>
        <v>50.988142292490124</v>
      </c>
      <c r="Z120" s="8"/>
      <c r="AA120" s="19">
        <f>SUM(AA23:AA28)</f>
        <v>2286</v>
      </c>
      <c r="AB120" s="6" t="s">
        <v>1</v>
      </c>
      <c r="AC120" s="9">
        <f>SUM(AC23:AC28)</f>
        <v>53800</v>
      </c>
      <c r="AD120" s="23">
        <f>AA120*100/T120-100</f>
        <v>70.7244212098581</v>
      </c>
      <c r="AE120" s="24" t="s">
        <v>1</v>
      </c>
      <c r="AF120" s="23">
        <f>AC120*100/V120-100</f>
        <v>40.83769633507853</v>
      </c>
      <c r="AG120" s="8"/>
      <c r="AH120" s="19">
        <f>SUM(AH23:AH28)</f>
        <v>2221</v>
      </c>
      <c r="AI120" s="6" t="s">
        <v>1</v>
      </c>
      <c r="AJ120" s="9">
        <f>SUM(AJ23:AJ28)</f>
        <v>84300</v>
      </c>
      <c r="AK120" s="23">
        <f>AH120*100/AA120-100</f>
        <v>-2.843394575678033</v>
      </c>
      <c r="AL120" s="24" t="s">
        <v>1</v>
      </c>
      <c r="AM120" s="23">
        <f>AJ120*100/AC120-100</f>
        <v>56.6914498141264</v>
      </c>
      <c r="AN120" s="8"/>
      <c r="AO120" s="19">
        <f>SUM(AO23:AO28)</f>
        <v>3013</v>
      </c>
      <c r="AP120" s="6" t="s">
        <v>1</v>
      </c>
      <c r="AQ120" s="9">
        <f>SUM(AQ23:AQ28)</f>
        <v>114466</v>
      </c>
      <c r="AR120" s="23">
        <f>AO120*100/AH120-100</f>
        <v>35.65961278703287</v>
      </c>
      <c r="AS120" s="24" t="s">
        <v>1</v>
      </c>
      <c r="AT120" s="23">
        <f>AQ120*100/AJ120-100</f>
        <v>35.78410438908659</v>
      </c>
      <c r="AU120" s="8"/>
      <c r="AV120" s="19">
        <f>SUM(AV23:AV28)</f>
        <v>2662</v>
      </c>
      <c r="AW120" s="6" t="s">
        <v>1</v>
      </c>
      <c r="AX120" s="9">
        <f>SUM(AX23:AX28)</f>
        <v>104109</v>
      </c>
      <c r="AY120" s="23">
        <f>AV120*100/AO120-100</f>
        <v>-11.649518752074343</v>
      </c>
      <c r="AZ120" s="24" t="s">
        <v>1</v>
      </c>
      <c r="BA120" s="23">
        <f>AX120*100/AQ120-100</f>
        <v>-9.048101619694933</v>
      </c>
      <c r="BB120" s="8"/>
      <c r="BC120" s="19">
        <f>SUM(BC23:BC28)</f>
        <v>2272</v>
      </c>
      <c r="BD120" s="6" t="s">
        <v>1</v>
      </c>
      <c r="BE120" s="9">
        <f>SUM(BE23:BE28)</f>
        <v>73388</v>
      </c>
      <c r="BF120" s="23">
        <f>BC120*100/AV120-100</f>
        <v>-14.650638617580768</v>
      </c>
      <c r="BG120" s="24" t="s">
        <v>1</v>
      </c>
      <c r="BH120" s="23">
        <f>BE120*100/AX120-100</f>
        <v>-29.50849590333209</v>
      </c>
      <c r="BI120" s="8"/>
      <c r="BJ120" s="19">
        <f>SUM(BJ23:BJ28)</f>
        <v>874</v>
      </c>
      <c r="BK120" s="6" t="s">
        <v>1</v>
      </c>
      <c r="BL120" s="9">
        <f>SUM(BL23:BL28)</f>
        <v>25860</v>
      </c>
      <c r="BM120" s="23">
        <f>BJ120*100/BC120-100</f>
        <v>-61.53169014084507</v>
      </c>
      <c r="BN120" s="24" t="s">
        <v>1</v>
      </c>
      <c r="BO120" s="23">
        <f>BL120*100/BE120-100</f>
        <v>-64.76263149288712</v>
      </c>
      <c r="BP120" s="8"/>
      <c r="BQ120" s="19">
        <f>SUM(BQ23:BQ28)</f>
        <v>698</v>
      </c>
      <c r="BR120" s="6" t="s">
        <v>1</v>
      </c>
      <c r="BS120" s="9">
        <f>SUM(BS23:BS28)</f>
        <v>20754</v>
      </c>
      <c r="BT120" s="23">
        <f>BQ120*100/BJ120-100</f>
        <v>-20.13729977116705</v>
      </c>
      <c r="BU120" s="24" t="s">
        <v>1</v>
      </c>
      <c r="BV120" s="23">
        <f>BS120*100/BL120-100</f>
        <v>-19.74477958236659</v>
      </c>
      <c r="BW120" s="8"/>
      <c r="BX120" s="19">
        <f>SUM(BX23:BX28)</f>
        <v>1039</v>
      </c>
      <c r="BY120" s="6" t="s">
        <v>1</v>
      </c>
      <c r="BZ120" s="9">
        <f>SUM(BZ23:BZ28)</f>
        <v>34404</v>
      </c>
      <c r="CA120" s="23">
        <f>BX120*100/BQ120-100</f>
        <v>48.85386819484242</v>
      </c>
      <c r="CB120" s="24" t="s">
        <v>1</v>
      </c>
      <c r="CC120" s="23">
        <f>BZ120*100/BS120-100</f>
        <v>65.77045388840705</v>
      </c>
      <c r="CD120" s="8"/>
      <c r="CE120" s="19">
        <f>SUM(CE23:CE28)</f>
        <v>1016</v>
      </c>
      <c r="CF120" s="6" t="s">
        <v>1</v>
      </c>
      <c r="CG120" s="9">
        <f>SUM(CG23:CG28)</f>
        <v>29127</v>
      </c>
      <c r="CH120" s="23">
        <f>CE120*100/BX120-100</f>
        <v>-2.2136669874879686</v>
      </c>
      <c r="CI120" s="24" t="s">
        <v>1</v>
      </c>
      <c r="CJ120" s="23">
        <f>CG120*100/BZ120-100</f>
        <v>-15.338332752005584</v>
      </c>
      <c r="CK120" s="8"/>
      <c r="CL120" s="19">
        <f>SUM(CL23:CL28)</f>
        <v>901</v>
      </c>
      <c r="CM120" s="6" t="s">
        <v>1</v>
      </c>
      <c r="CN120" s="9">
        <f>SUM(CN23:CN28)</f>
        <v>30454</v>
      </c>
      <c r="CO120" s="23">
        <f>CL120*100/CE120-100</f>
        <v>-11.318897637795274</v>
      </c>
      <c r="CP120" s="24" t="s">
        <v>1</v>
      </c>
      <c r="CQ120" s="23">
        <f>CN120*100/CG120-100</f>
        <v>4.555910323754588</v>
      </c>
      <c r="CR120" s="8"/>
      <c r="CS120" s="19">
        <f>SUM(CS23:CS28)</f>
        <v>1247</v>
      </c>
      <c r="CT120" s="6" t="s">
        <v>1</v>
      </c>
      <c r="CU120" s="9">
        <f>SUM(CU23:CU28)</f>
        <v>34753</v>
      </c>
      <c r="CV120" s="23">
        <f>CS120*100/CL120-100</f>
        <v>38.4017758046615</v>
      </c>
      <c r="CW120" s="24" t="s">
        <v>1</v>
      </c>
      <c r="CX120" s="23">
        <f>CU120*100/CN120-100</f>
        <v>14.116372233532545</v>
      </c>
      <c r="CY120" s="8"/>
      <c r="CZ120" s="19">
        <f>SUM(CZ23:CZ28)</f>
        <v>868</v>
      </c>
      <c r="DA120" s="6" t="s">
        <v>1</v>
      </c>
      <c r="DB120" s="9">
        <f>SUM(DB23:DB28)</f>
        <v>29969</v>
      </c>
      <c r="DC120" s="23">
        <f>CZ120*100/CS120-100</f>
        <v>-30.39294306335205</v>
      </c>
      <c r="DD120" s="24" t="s">
        <v>1</v>
      </c>
      <c r="DE120" s="23">
        <f>DB120*100/CU120-100</f>
        <v>-13.765718067504963</v>
      </c>
      <c r="DF120" s="8"/>
      <c r="DG120" s="19">
        <f>SUM(DG23:DG28)</f>
        <v>917</v>
      </c>
      <c r="DH120" s="6" t="s">
        <v>1</v>
      </c>
      <c r="DI120" s="9">
        <f>SUM(DI23:DI28)</f>
        <v>30056</v>
      </c>
      <c r="DJ120" s="23">
        <f>DG120*100/CZ120-100</f>
        <v>5.6451612903225765</v>
      </c>
      <c r="DK120" s="24" t="s">
        <v>1</v>
      </c>
      <c r="DL120" s="23">
        <f>DI120*100/DB120-100</f>
        <v>0.2902999766425296</v>
      </c>
      <c r="DM120" s="8"/>
      <c r="DN120" s="19">
        <f>SUM(DN23:DN28)</f>
        <v>1365</v>
      </c>
      <c r="DO120" s="6" t="s">
        <v>1</v>
      </c>
      <c r="DP120" s="9">
        <f>SUM(DP23:DP28)</f>
        <v>45495</v>
      </c>
      <c r="DQ120" s="23">
        <f>DN120*100/DG120-100</f>
        <v>48.854961832061065</v>
      </c>
      <c r="DR120" s="24" t="s">
        <v>1</v>
      </c>
      <c r="DS120" s="23">
        <f>DP120*100/DI120-100</f>
        <v>51.36744743146127</v>
      </c>
      <c r="DT120" s="8"/>
      <c r="DU120" s="19">
        <f>SUM(DU23:DU28)</f>
        <v>4107</v>
      </c>
      <c r="DV120" s="6" t="s">
        <v>1</v>
      </c>
      <c r="DW120" s="9">
        <f>SUM(DW23:DW28)</f>
        <v>94167</v>
      </c>
      <c r="DX120" s="23">
        <f>DU120*100/DN120-100</f>
        <v>200.87912087912088</v>
      </c>
      <c r="DY120" s="24" t="s">
        <v>1</v>
      </c>
      <c r="DZ120" s="23">
        <f>DW120*100/DP120-100</f>
        <v>106.98318496538081</v>
      </c>
      <c r="EA120" s="8"/>
      <c r="EB120" s="19">
        <f>SUM(EB23:EB28)</f>
        <v>3925</v>
      </c>
      <c r="EC120" s="6" t="s">
        <v>1</v>
      </c>
      <c r="ED120" s="9">
        <f>SUM(ED23:ED28)</f>
        <v>120944</v>
      </c>
      <c r="EE120" s="23">
        <f>EB120*100/DU120-100</f>
        <v>-4.431458485512536</v>
      </c>
      <c r="EF120" s="24" t="s">
        <v>1</v>
      </c>
      <c r="EG120" s="23">
        <f>ED120*100/DW120-100</f>
        <v>28.435651555215742</v>
      </c>
      <c r="EH120" s="8"/>
      <c r="EI120" s="19">
        <f>SUM(EI23:EI28)</f>
        <v>3388</v>
      </c>
      <c r="EJ120" s="6" t="s">
        <v>1</v>
      </c>
      <c r="EK120" s="9">
        <f>SUM(EK23:EK28)</f>
        <v>103395</v>
      </c>
      <c r="EL120" s="23">
        <f>EI120*100/EB120-100</f>
        <v>-13.681528662420376</v>
      </c>
      <c r="EM120" s="24" t="s">
        <v>1</v>
      </c>
      <c r="EN120" s="23">
        <f>EK120*100/ED120-100</f>
        <v>-14.510021166821005</v>
      </c>
      <c r="EO120" s="8"/>
      <c r="EP120" s="19">
        <f>SUM(EP23:EP28)</f>
        <v>4875</v>
      </c>
      <c r="EQ120" s="6" t="s">
        <v>1</v>
      </c>
      <c r="ER120" s="9">
        <f>SUM(ER23:ER28)</f>
        <v>163540</v>
      </c>
      <c r="ES120" s="23">
        <f>EP120*100/EI120-100</f>
        <v>43.89020070838254</v>
      </c>
      <c r="ET120" s="24" t="s">
        <v>1</v>
      </c>
      <c r="EU120" s="23">
        <f>ER120*100/EK120-100</f>
        <v>58.17012428067122</v>
      </c>
      <c r="EV120" s="8"/>
      <c r="EW120" s="19">
        <f>SUM(EW23:EW28)</f>
        <v>4728</v>
      </c>
      <c r="EX120" s="6" t="s">
        <v>1</v>
      </c>
      <c r="EY120" s="9">
        <f>SUM(EY23:EY28)</f>
        <v>162930</v>
      </c>
      <c r="EZ120" s="9">
        <f>SUM(EZ23:EZ28)</f>
        <v>162930</v>
      </c>
      <c r="FA120" s="23">
        <f>EW120*100/EP120-100</f>
        <v>-3.015384615384619</v>
      </c>
      <c r="FB120" s="24" t="s">
        <v>1</v>
      </c>
      <c r="FC120" s="23">
        <f>EZ120*100/ER120-100</f>
        <v>-0.3729974318209628</v>
      </c>
      <c r="FD120" s="8"/>
      <c r="FE120" s="9">
        <f>SUM(FE23:FE28)</f>
        <v>3601</v>
      </c>
      <c r="FF120" s="6" t="s">
        <v>1</v>
      </c>
      <c r="FG120" s="9">
        <f>SUM(FG23:FG28)</f>
        <v>110678</v>
      </c>
      <c r="FH120" s="9">
        <f>SUM(FH23:FH28)</f>
        <v>110678</v>
      </c>
      <c r="FI120" s="23">
        <f>FE120*100/EW120-100</f>
        <v>-23.83671742808798</v>
      </c>
      <c r="FJ120" s="24" t="s">
        <v>1</v>
      </c>
      <c r="FK120" s="23">
        <f t="shared" si="468"/>
        <v>-32.070214202418214</v>
      </c>
      <c r="FL120" s="23">
        <f t="shared" si="468"/>
        <v>-32.070214202418214</v>
      </c>
      <c r="FM120" s="23"/>
      <c r="FN120" s="9">
        <f>SUM(FN23:FN28)</f>
        <v>3604</v>
      </c>
      <c r="FO120" s="6" t="s">
        <v>1</v>
      </c>
      <c r="FP120" s="9">
        <f>SUM(FP23:FP28)</f>
        <v>108611</v>
      </c>
      <c r="FQ120" s="9">
        <f>SUM(FQ23:FQ28)</f>
        <v>108611</v>
      </c>
      <c r="FR120" s="23">
        <f t="shared" si="461"/>
        <v>0.08331019161343534</v>
      </c>
      <c r="FS120" s="24" t="s">
        <v>1</v>
      </c>
      <c r="FT120" s="23">
        <f t="shared" si="368"/>
        <v>-1.867579826162384</v>
      </c>
      <c r="FU120" s="23">
        <f t="shared" si="368"/>
        <v>-1.867579826162384</v>
      </c>
      <c r="FV120" s="23"/>
      <c r="FW120" s="9">
        <f>SUM(FW23:FW28)</f>
        <v>4623</v>
      </c>
      <c r="FX120" s="6" t="s">
        <v>1</v>
      </c>
      <c r="FY120" s="9">
        <f>SUM(FY23:FY28)</f>
        <v>137537</v>
      </c>
      <c r="FZ120" s="9">
        <f>SUM(FZ23:FZ28)</f>
        <v>137537</v>
      </c>
      <c r="GA120" s="23">
        <f t="shared" si="462"/>
        <v>28.274139844617082</v>
      </c>
      <c r="GB120" s="23" t="e">
        <f t="shared" si="462"/>
        <v>#DIV/0!</v>
      </c>
      <c r="GC120" s="23">
        <f t="shared" si="462"/>
        <v>26.63266151678927</v>
      </c>
      <c r="GD120" s="23">
        <f t="shared" si="462"/>
        <v>26.63266151678927</v>
      </c>
      <c r="GE120" s="23"/>
      <c r="GF120" s="9">
        <f>SUM(GF23:GF28)</f>
        <v>3361</v>
      </c>
      <c r="GG120" s="6" t="s">
        <v>1</v>
      </c>
      <c r="GH120" s="9">
        <f>SUM(GH23:GH28)</f>
        <v>85325</v>
      </c>
      <c r="GI120" s="9">
        <f>SUM(GI23:GI28)</f>
        <v>85325</v>
      </c>
      <c r="GJ120" s="23">
        <f>GF120*100/FW120-100</f>
        <v>-27.298291152931</v>
      </c>
      <c r="GK120" s="24" t="s">
        <v>1</v>
      </c>
      <c r="GL120" s="23">
        <f aca="true" t="shared" si="474" ref="GL120:GM122">GH120*100/FY120-100</f>
        <v>-37.96214836734842</v>
      </c>
      <c r="GM120" s="23">
        <f t="shared" si="474"/>
        <v>-37.96214836734842</v>
      </c>
      <c r="GN120" s="23"/>
      <c r="GO120" s="9">
        <f>SUM(GO23:GO28)</f>
        <v>2422</v>
      </c>
      <c r="GP120" s="6" t="s">
        <v>1</v>
      </c>
      <c r="GQ120" s="9">
        <f>SUM(GQ23:GQ28)</f>
        <v>69006</v>
      </c>
      <c r="GR120" s="9">
        <f>SUM(GR23:GR28)</f>
        <v>69006</v>
      </c>
      <c r="GS120" s="23">
        <f>GO120*100/GF120-100</f>
        <v>-27.938113656649804</v>
      </c>
      <c r="GT120" s="24" t="s">
        <v>1</v>
      </c>
      <c r="GU120" s="23">
        <f t="shared" si="469"/>
        <v>-19.125695868737182</v>
      </c>
      <c r="GV120" s="23">
        <f t="shared" si="469"/>
        <v>-19.125695868737182</v>
      </c>
      <c r="GW120" s="23"/>
      <c r="GX120" s="9">
        <f>SUM(GX23:GX28)</f>
        <v>2302</v>
      </c>
      <c r="GY120" s="6" t="s">
        <v>1</v>
      </c>
      <c r="GZ120" s="9">
        <f>SUM(GZ23:GZ28)</f>
        <v>64905</v>
      </c>
      <c r="HA120" s="9">
        <f>SUM(HA23:HA28)</f>
        <v>64905</v>
      </c>
      <c r="HB120" s="23">
        <f>GX120*100/GO120-100</f>
        <v>-4.954582989265077</v>
      </c>
      <c r="HC120" s="24" t="s">
        <v>1</v>
      </c>
      <c r="HD120" s="23">
        <f t="shared" si="470"/>
        <v>-5.942961481610297</v>
      </c>
      <c r="HE120" s="23">
        <f t="shared" si="470"/>
        <v>-5.942961481610297</v>
      </c>
      <c r="HF120" s="23"/>
      <c r="HG120" s="9">
        <f>SUM(HG23:HG28)</f>
        <v>2984</v>
      </c>
      <c r="HH120" s="6" t="s">
        <v>1</v>
      </c>
      <c r="HI120" s="9">
        <f>SUM(HI23:HI28)</f>
        <v>87133</v>
      </c>
      <c r="HJ120" s="9">
        <f>SUM(HJ23:HJ28)</f>
        <v>86863</v>
      </c>
      <c r="HK120" s="23">
        <f>HG120*100/GX120-100</f>
        <v>29.626411815812332</v>
      </c>
      <c r="HL120" s="24" t="s">
        <v>1</v>
      </c>
      <c r="HM120" s="23">
        <f t="shared" si="471"/>
        <v>34.24697635005006</v>
      </c>
      <c r="HN120" s="23">
        <f t="shared" si="471"/>
        <v>33.83098374547416</v>
      </c>
      <c r="HO120" s="23"/>
      <c r="HP120" s="9">
        <f>SUM(HP23:HP28)</f>
        <v>3906</v>
      </c>
      <c r="HQ120" s="6" t="s">
        <v>1</v>
      </c>
      <c r="HR120" s="9">
        <f>SUM(HR23:HR28)</f>
        <v>100667</v>
      </c>
      <c r="HS120" s="9">
        <f>SUM(HS23:HS28)</f>
        <v>100667</v>
      </c>
      <c r="HT120" s="23">
        <f>HP120*100/HG120-100</f>
        <v>30.898123324396778</v>
      </c>
      <c r="HU120" s="24" t="s">
        <v>1</v>
      </c>
      <c r="HV120" s="23">
        <f t="shared" si="472"/>
        <v>15.532576635717817</v>
      </c>
      <c r="HW120" s="23">
        <f t="shared" si="472"/>
        <v>15.891691514223552</v>
      </c>
      <c r="HX120" s="23"/>
      <c r="HY120" s="9">
        <f>SUM(HY23:HY28)</f>
        <v>6022</v>
      </c>
      <c r="HZ120" s="6" t="s">
        <v>1</v>
      </c>
      <c r="IA120" s="9">
        <f>SUM(IA23:IA28)</f>
        <v>196656</v>
      </c>
      <c r="IB120" s="9">
        <f>SUM(IB23:IB28)</f>
        <v>196656</v>
      </c>
      <c r="IC120" s="23">
        <f>HY120*100/HP120-100</f>
        <v>54.17306707629288</v>
      </c>
      <c r="ID120" s="24" t="s">
        <v>1</v>
      </c>
      <c r="IE120" s="23">
        <f t="shared" si="473"/>
        <v>95.3529955198824</v>
      </c>
      <c r="IF120" s="23">
        <f t="shared" si="473"/>
        <v>95.3529955198824</v>
      </c>
      <c r="IG120" s="23"/>
    </row>
    <row r="121" spans="1:241" ht="12">
      <c r="A121" s="1" t="s">
        <v>114</v>
      </c>
      <c r="B121" s="19">
        <f>B29+B30+B34+B37+B41+B42+B43+B46+B47+B48+B49+B50+B53+B54+B57+B60+B61+B64+B67+B70+B73+B76+B79+B82+B85+B88+B78+B89+B92+B95+B98+B101+B104+B108+B105+B38</f>
        <v>50893.6</v>
      </c>
      <c r="C121" s="6" t="s">
        <v>1</v>
      </c>
      <c r="D121" s="9">
        <f>D29+D30+D34+D37+D41+D42+D43+D46+D47+D48+D49+D50+D53+D54+D57+D60+D61+D64+D67+D70+D73+D76+D79+D82+D85+D88+D78+D89+D92+D95+D98+D101+D104+D108+D105+D38</f>
        <v>16896749</v>
      </c>
      <c r="E121" s="9"/>
      <c r="F121" s="19">
        <f>F29+F30+F34+F37+F41+F42+F43+F46+F47+F48+F49+F50+F53+F54+F57+F60+F61+F64+F67+F70+F73+F76+F79+F82+F85+F88+F78+F89+F92+F95+F98+F101+F104+F108+F105+F38</f>
        <v>48771.4</v>
      </c>
      <c r="G121" s="6" t="s">
        <v>1</v>
      </c>
      <c r="H121" s="9">
        <f>H29+H30+H34+H37+H41+H42+H43+H46+H47+H48+H49+H50+H53+H54+H57+H60+H61+H64+H67+H70+H73+H76+H79+H82+H85+H88+H78+H89+H92+H95+H98+H101+H104+H108+H105+H38</f>
        <v>15489627</v>
      </c>
      <c r="I121" s="23">
        <f>F121*100/B121-100</f>
        <v>-4.1698759765471465</v>
      </c>
      <c r="J121" s="24" t="s">
        <v>1</v>
      </c>
      <c r="K121" s="23">
        <f>H121*100/D121-100</f>
        <v>-8.327767667022812</v>
      </c>
      <c r="L121" s="8"/>
      <c r="M121" s="19">
        <f>M29+M30+M34+M37+M41+M42+M43+M46+M47+M48+M49+M50+M53+M54+M57+M60+M61+M64+M67+M70+M73+M76+M79+M82+M85+M88+M78+M89+M92+M95+M98+M101+M104+M108+M105+M38</f>
        <v>47489.17000000001</v>
      </c>
      <c r="N121" s="6" t="s">
        <v>1</v>
      </c>
      <c r="O121" s="9">
        <f>O29+O30+O34+O37+O41+O42+O43+O46+O47+O48+O49+O50+O53+O54+O57+O60+O61+O64+O67+O70+O73+O76+O79+O82+O85+O88+O78+O89+O92+O95+O98+O101+O104+O108+O105+O38</f>
        <v>16318090</v>
      </c>
      <c r="P121" s="23">
        <f>M121*100/F121-100</f>
        <v>-2.629061294119083</v>
      </c>
      <c r="Q121" s="24" t="s">
        <v>1</v>
      </c>
      <c r="R121" s="23">
        <f>O121*100/H121-100</f>
        <v>5.348501936166699</v>
      </c>
      <c r="S121" s="8"/>
      <c r="T121" s="19">
        <f>T29+T30+T34+T37+T41+T42+T43+T46+T47+T48+T49+T50+T53+T54+T57+T60+T61+T64+T67+T70+T73+T76+T79+T82+T85+T88+T78+T89+T92+T95+T98+T101+T104+T108+T105+T38</f>
        <v>48044.2</v>
      </c>
      <c r="U121" s="6" t="s">
        <v>1</v>
      </c>
      <c r="V121" s="9">
        <f>V29+V30+V34+V37+V41+V42+V43+V46+V47+V48+V49+V50+V53+V54+V57+V60+V61+V64+V67+V70+V73+V76+V79+V82+V85+V88+V78+V89+V92+V95+V98+V101+V104+V108+V105+V38</f>
        <v>15327246</v>
      </c>
      <c r="W121" s="23">
        <f>T121*100/M121-100</f>
        <v>1.1687506856826246</v>
      </c>
      <c r="X121" s="24" t="s">
        <v>1</v>
      </c>
      <c r="Y121" s="23">
        <f>V121*100/O121-100</f>
        <v>-6.072058678436022</v>
      </c>
      <c r="Z121" s="8"/>
      <c r="AA121" s="19">
        <f>AA29+AA30+AA34+AA37+AA41+AA42+AA43+AA46+AA47+AA48+AA49+AA50+AA53+AA54+AA57+AA60+AA61+AA64+AA67+AA70+AA73+AA76+AA79+AA82+AA85+AA88+AA78+AA89+AA92+AA95+AA98+AA101+AA104+AA108+AA105+AA38</f>
        <v>55871.51000000001</v>
      </c>
      <c r="AB121" s="6" t="s">
        <v>1</v>
      </c>
      <c r="AC121" s="9">
        <f>AC29+AC30+AC34+AC37+AC41+AC42+AC43+AC46+AC47+AC48+AC49+AC50+AC53+AC54+AC57+AC60+AC61+AC64+AC67+AC70+AC73+AC76+AC79+AC82+AC85+AC88+AC78+AC89+AC92+AC95+AC98+AC101+AC104+AC108+AC105+AC38</f>
        <v>18464461</v>
      </c>
      <c r="AD121" s="23">
        <f>AA121*100/T121-100</f>
        <v>16.291893714537892</v>
      </c>
      <c r="AE121" s="24" t="s">
        <v>1</v>
      </c>
      <c r="AF121" s="23">
        <f>AC121*100/V121-100</f>
        <v>20.46822371090019</v>
      </c>
      <c r="AG121" s="8"/>
      <c r="AH121" s="19">
        <f>AH29+AH30+AH34+AH37+AH41+AH42+AH43+AH46+AH47+AH48+AH49+AH50+AH53+AH54+AH57+AH60+AH61+AH64+AH67+AH70+AH73+AH76+AH79+AH82+AH85+AH88+AH78+AH89+AH92+AH95+AH98+AH101+AH104+AH108+AH105+AH38</f>
        <v>56552.740000000005</v>
      </c>
      <c r="AI121" s="6" t="s">
        <v>1</v>
      </c>
      <c r="AJ121" s="9">
        <f>AJ29+AJ30+AJ34+AJ37+AJ41+AJ42+AJ43+AJ46+AJ47+AJ48+AJ49+AJ50+AJ53+AJ54+AJ57+AJ60+AJ61+AJ64+AJ67+AJ70+AJ73+AJ76+AJ79+AJ82+AJ85+AJ88+AJ78+AJ89+AJ92+AJ95+AJ98+AJ101+AJ104+AJ108+AJ105+AJ38</f>
        <v>19186477</v>
      </c>
      <c r="AK121" s="23">
        <f>AH121*100/AA121-100</f>
        <v>1.2192797366672181</v>
      </c>
      <c r="AL121" s="24" t="s">
        <v>1</v>
      </c>
      <c r="AM121" s="23">
        <f>AJ121*100/AC121-100</f>
        <v>3.910300983061461</v>
      </c>
      <c r="AN121" s="8"/>
      <c r="AO121" s="19">
        <f>AO29+AO30+AO34+AO37+AO41+AO42+AO43+AO46+AO47+AO48+AO49+AO50+AO53+AO54+AO57+AO60+AO61+AO64+AO67+AO70+AO73+AO76+AO79+AO82+AO85+AO88+AO78+AO89+AO92+AO95+AO98+AO101+AO104+AO108+AO105+AO38</f>
        <v>56409.469999999994</v>
      </c>
      <c r="AP121" s="6" t="s">
        <v>1</v>
      </c>
      <c r="AQ121" s="9">
        <f>AQ29+AQ30+AQ34+AQ37+AQ41+AQ42+AQ43+AQ46+AQ47+AQ48+AQ49+AQ50+AQ53+AQ54+AQ57+AQ60+AQ61+AQ64+AQ67+AQ70+AQ73+AQ76+AQ79+AQ82+AQ85+AQ88+AQ78+AQ89+AQ92+AQ95+AQ98+AQ101+AQ104+AQ108+AQ105+AQ38</f>
        <v>18557595</v>
      </c>
      <c r="AR121" s="23">
        <f>AO121*100/AH121-100</f>
        <v>-0.253338741854094</v>
      </c>
      <c r="AS121" s="24" t="s">
        <v>1</v>
      </c>
      <c r="AT121" s="23">
        <f>AQ121*100/AJ121-100</f>
        <v>-3.2777356676788543</v>
      </c>
      <c r="AU121" s="8"/>
      <c r="AV121" s="19">
        <f>AV29+AV30+AV34+AV37+AV41+AV42+AV43+AV46+AV47+AV48+AV49+AV50+AV53+AV54+AV57+AV60+AV61+AV64+AV67+AV70+AV73+AV76+AV79+AV82+AV85+AV88+AV78+AV89+AV92+AV95+AV98+AV101+AV104+AV108+AV105+AV38</f>
        <v>57248.59000000001</v>
      </c>
      <c r="AW121" s="6" t="s">
        <v>1</v>
      </c>
      <c r="AX121" s="9">
        <f>AX29+AX30+AX34+AX37+AX41+AX42+AX43+AX46+AX47+AX48+AX49+AX50+AX53+AX54+AX57+AX60+AX61+AX64+AX67+AX70+AX73+AX76+AX79+AX82+AX85+AX88+AX78+AX89+AX92+AX95+AX98+AX101+AX104+AX108+AX105+AX38</f>
        <v>20520275</v>
      </c>
      <c r="AY121" s="23">
        <f>AV121*100/AO121-100</f>
        <v>1.487551646913218</v>
      </c>
      <c r="AZ121" s="24" t="s">
        <v>1</v>
      </c>
      <c r="BA121" s="23">
        <f>AX121*100/AQ121-100</f>
        <v>10.576154938180295</v>
      </c>
      <c r="BB121" s="8"/>
      <c r="BC121" s="19">
        <f>BC29+BC30+BC34+BC37+BC41+BC42+BC43+BC46+BC47+BC48+BC49+BC50+BC53+BC54+BC57+BC60+BC61+BC64+BC67+BC70+BC73+BC76+BC79+BC82+BC85+BC88+BC78+BC89+BC92+BC95+BC98+BC101+BC104+BC108+BC105+BC38</f>
        <v>55936.29</v>
      </c>
      <c r="BD121" s="6" t="s">
        <v>1</v>
      </c>
      <c r="BE121" s="9">
        <f>BE29+BE30+BE34+BE37+BE41+BE42+BE43+BE46+BE47+BE48+BE49+BE50+BE53+BE54+BE57+BE60+BE61+BE64+BE67+BE70+BE73+BE76+BE79+BE82+BE85+BE88+BE78+BE89+BE92+BE95+BE98+BE101+BE104+BE108+BE105+BE38</f>
        <v>20337818</v>
      </c>
      <c r="BF121" s="23">
        <f>BC121*100/AV121-100</f>
        <v>-2.292283530476496</v>
      </c>
      <c r="BG121" s="24" t="s">
        <v>1</v>
      </c>
      <c r="BH121" s="23">
        <f>BE121*100/AX121-100</f>
        <v>-0.8891547506064086</v>
      </c>
      <c r="BI121" s="8"/>
      <c r="BJ121" s="19">
        <f>BJ29+BJ30+BJ34+BJ37+BJ41+BJ42+BJ43+BJ46+BJ47+BJ48+BJ49+BJ50+BJ53+BJ54+BJ57+BJ60+BJ61+BJ64+BJ67+BJ70+BJ73+BJ76+BJ79+BJ82+BJ85+BJ88+BJ78+BJ89+BJ92+BJ95+BJ98+BJ101+BJ104+BJ108+BJ105+BJ38</f>
        <v>52224.97</v>
      </c>
      <c r="BK121" s="6" t="s">
        <v>1</v>
      </c>
      <c r="BL121" s="9">
        <f>BL29+BL30+BL34+BL37+BL41+BL42+BL43+BL46+BL47+BL48+BL49+BL50+BL53+BL54+BL57+BL60+BL61+BL64+BL67+BL70+BL73+BL76+BL79+BL82+BL85+BL88+BL78+BL89+BL92+BL95+BL98+BL101+BL104+BL108+BL105+BL38</f>
        <v>17292547</v>
      </c>
      <c r="BM121" s="23">
        <f>BJ121*100/BC121-100</f>
        <v>-6.634905532705162</v>
      </c>
      <c r="BN121" s="24" t="s">
        <v>1</v>
      </c>
      <c r="BO121" s="23">
        <f>BL121*100/BE121-100</f>
        <v>-14.973440120272485</v>
      </c>
      <c r="BP121" s="8"/>
      <c r="BQ121" s="19">
        <f>BQ29+BQ30+BQ34+BQ37+BQ41+BQ42+BQ43+BQ46+BQ47+BQ48+BQ49+BQ50+BQ53+BQ54+BQ57+BQ60+BQ61+BQ64+BQ67+BQ70+BQ73+BQ76+BQ79+BQ82+BQ85+BQ88+BQ78+BQ89+BQ92+BQ95+BQ98+BQ101+BQ104+BQ108+BQ105+BQ38</f>
        <v>55841.60999999999</v>
      </c>
      <c r="BR121" s="6" t="s">
        <v>1</v>
      </c>
      <c r="BS121" s="9">
        <f>BS29+BS30+BS34+BS37+BS41+BS42+BS43+BS46+BS47+BS48+BS49+BS50+BS53+BS54+BS57+BS60+BS61+BS64+BS67+BS70+BS73+BS76+BS79+BS82+BS85+BS88+BS78+BS89+BS92+BS95+BS98+BS101+BS104+BS108+BS105+BS38</f>
        <v>17659664</v>
      </c>
      <c r="BT121" s="23">
        <f>BQ121*100/BJ121-100</f>
        <v>6.925116472063053</v>
      </c>
      <c r="BU121" s="24" t="s">
        <v>1</v>
      </c>
      <c r="BV121" s="23">
        <f>BS121*100/BL121-100</f>
        <v>2.1229781824505096</v>
      </c>
      <c r="BW121" s="8"/>
      <c r="BX121" s="19">
        <f>BX29+BX30+BX34+BX37+BX41+BX42+BX43+BX46+BX47+BX48+BX49+BX50+BX53+BX54+BX57+BX60+BX61+BX64+BX67+BX70+BX73+BX76+BX79+BX82+BX85+BX88+BX78+BX89+BX92+BX95+BX98+BX101+BX104+BX108+BX105+BX38</f>
        <v>56858.600000000006</v>
      </c>
      <c r="BY121" s="6" t="s">
        <v>1</v>
      </c>
      <c r="BZ121" s="9">
        <f>BZ29+BZ30+BZ34+BZ37+BZ41+BZ42+BZ43+BZ46+BZ47+BZ48+BZ49+BZ50+BZ53+BZ54+BZ57+BZ60+BZ61+BZ64+BZ67+BZ70+BZ73+BZ76+BZ79+BZ82+BZ85+BZ88+BZ78+BZ89+BZ92+BZ95+BZ98+BZ101+BZ104+BZ108+BZ105+BZ38</f>
        <v>20439977</v>
      </c>
      <c r="CA121" s="23">
        <f>BX121*100/BQ121-100</f>
        <v>1.82120465366242</v>
      </c>
      <c r="CB121" s="24" t="s">
        <v>1</v>
      </c>
      <c r="CC121" s="23">
        <f>BZ121*100/BS121-100</f>
        <v>15.743861264857586</v>
      </c>
      <c r="CD121" s="8"/>
      <c r="CE121" s="19">
        <f>CE29+CE30+CE34+CE37+CE41+CE42+CE43+CE46+CE47+CE48+CE49+CE50+CE53+CE54+CE57+CE60+CE61+CE64+CE67+CE70+CE73+CE76+CE79+CE82+CE85+CE88+CE78+CE89+CE92+CE95+CE98+CE101+CE104+CE108+CE105+CE38</f>
        <v>54716.29</v>
      </c>
      <c r="CF121" s="6" t="s">
        <v>1</v>
      </c>
      <c r="CG121" s="9">
        <f>CG29+CG30+CG34+CG37+CG41+CG42+CG43+CG46+CG47+CG48+CG49+CG50+CG53+CG54+CG57+CG60+CG61+CG64+CG67+CG70+CG73+CG76+CG79+CG82+CG85+CG88+CG78+CG89+CG92+CG95+CG98+CG101+CG104+CG108+CG105+CG38</f>
        <v>18723071</v>
      </c>
      <c r="CH121" s="23">
        <f>CE121*100/BX121-100</f>
        <v>-3.7677853482147015</v>
      </c>
      <c r="CI121" s="24" t="s">
        <v>1</v>
      </c>
      <c r="CJ121" s="23">
        <f>CG121*100/BZ121-100</f>
        <v>-8.399745263901224</v>
      </c>
      <c r="CK121" s="8"/>
      <c r="CL121" s="19">
        <f>CL29+CL30+CL34+CL37+CL41+CL42+CL43+CL46+CL47+CL48+CL49+CL50+CL53+CL54+CL57+CL60+CL61+CL64+CL67+CL70+CL73+CL76+CL79+CL82+CL85+CL88+CL78+CL89+CL92+CL95+CL98+CL101+CL104+CL108+CL105+CL38</f>
        <v>56806.700000000004</v>
      </c>
      <c r="CM121" s="6" t="s">
        <v>1</v>
      </c>
      <c r="CN121" s="9">
        <f>CN29+CN30+CN34+CN37+CN41+CN42+CN43+CN46+CN47+CN48+CN49+CN50+CN53+CN54+CN57+CN60+CN61+CN64+CN67+CN70+CN73+CN76+CN79+CN82+CN85+CN88+CN78+CN89+CN92+CN95+CN98+CN101+CN104+CN108+CN105+CN38</f>
        <v>22472180</v>
      </c>
      <c r="CO121" s="23">
        <f>CL121*100/CE121-100</f>
        <v>3.8204527390289087</v>
      </c>
      <c r="CP121" s="24" t="s">
        <v>1</v>
      </c>
      <c r="CQ121" s="23">
        <f>CN121*100/CG121-100</f>
        <v>20.02400674547461</v>
      </c>
      <c r="CR121" s="8"/>
      <c r="CS121" s="19">
        <f>CS29+CS30+CS34+CS37+CS41+CS42+CS43+CS46+CS47+CS48+CS49+CS50+CS53+CS54+CS57+CS60+CS61+CS64+CS67+CS70+CS73+CS76+CS79+CS82+CS85+CS88+CS78+CS89+CS92+CS95+CS98+CS101+CS104+CS108+CS105+CS38</f>
        <v>61288.799999999996</v>
      </c>
      <c r="CT121" s="6" t="s">
        <v>1</v>
      </c>
      <c r="CU121" s="9">
        <f>CU29+CU30+CU34+CU37+CU41+CU42+CU43+CU46+CU47+CU48+CU49+CU50+CU53+CU54+CU57+CU60+CU61+CU64+CU67+CU70+CU73+CU76+CU79+CU82+CU85+CU88+CU78+CU89+CU92+CU95+CU98+CU101+CU104+CU108+CU105+CU38</f>
        <v>24443180</v>
      </c>
      <c r="CV121" s="23">
        <f>CS121*100/CL121-100</f>
        <v>7.890090429473986</v>
      </c>
      <c r="CW121" s="24" t="s">
        <v>1</v>
      </c>
      <c r="CX121" s="23">
        <f>CU121*100/CN121-100</f>
        <v>8.77084466215561</v>
      </c>
      <c r="CY121" s="8"/>
      <c r="CZ121" s="19">
        <f>CZ29+CZ30+CZ34+CZ37+CZ41+CZ42+CZ43+CZ46+CZ47+CZ48+CZ49+CZ50+CZ53+CZ54+CZ57+CZ60+CZ61+CZ64+CZ67+CZ70+CZ73+CZ76+CZ79+CZ82+CZ85+CZ88+CZ78+CZ89+CZ92+CZ95+CZ98+CZ101+CZ104+CZ108+CZ105+CZ38</f>
        <v>62900.849999999984</v>
      </c>
      <c r="DA121" s="6" t="s">
        <v>1</v>
      </c>
      <c r="DB121" s="9">
        <f>DB29+DB30+DB34+DB37+DB41+DB42+DB43+DB46+DB47+DB48+DB49+DB50+DB53+DB54+DB57+DB60+DB61+DB64+DB67+DB70+DB73+DB76+DB79+DB82+DB85+DB88+DB78+DB89+DB92+DB95+DB98+DB101+DB104+DB108+DB105+DB38</f>
        <v>27528921.5</v>
      </c>
      <c r="DC121" s="23">
        <f>CZ121*100/CS121-100</f>
        <v>2.6302521831068475</v>
      </c>
      <c r="DD121" s="24" t="s">
        <v>1</v>
      </c>
      <c r="DE121" s="23">
        <f>DB121*100/CU121-100</f>
        <v>12.624140966928195</v>
      </c>
      <c r="DF121" s="8"/>
      <c r="DG121" s="19">
        <f>DG29+DG30+DG34+DG37+DG41+DG42+DG43+DG46+DG47+DG48+DG49+DG50+DG53+DG54+DG57+DG60+DG61+DG64+DG67+DG70+DG73+DG76+DG79+DG82+DG85+DG88+DG78+DG89+DG92+DG95+DG98+DG101+DG104+DG108+DG105+DG38</f>
        <v>62972.52999999999</v>
      </c>
      <c r="DH121" s="6" t="s">
        <v>1</v>
      </c>
      <c r="DI121" s="9">
        <f>DI29+DI30+DI34+DI37+DI41+DI42+DI43+DI46+DI47+DI48+DI49+DI50+DI53+DI54+DI57+DI60+DI61+DI64+DI67+DI70+DI73+DI76+DI79+DI82+DI85+DI88+DI78+DI89+DI92+DI95+DI98+DI101+DI104+DI108+DI105+DI38</f>
        <v>27155275</v>
      </c>
      <c r="DJ121" s="23">
        <f>DG121*100/CZ121-100</f>
        <v>0.11395712458576668</v>
      </c>
      <c r="DK121" s="24" t="s">
        <v>1</v>
      </c>
      <c r="DL121" s="23">
        <f>DI121*100/DB121-100</f>
        <v>-1.357287098951545</v>
      </c>
      <c r="DM121" s="8"/>
      <c r="DN121" s="19">
        <f>DN29+DN30+DN34+DN37+DN41+DN42+DN43+DN46+DN47+DN48+DN49+DN50+DN53+DN54+DN57+DN60+DN61+DN64+DN67+DN70+DN73+DN76+DN79+DN82+DN85+DN88+DN78+DN89+DN92+DN95+DN98+DN101+DN104+DN108+DN105+DN38</f>
        <v>63811.18</v>
      </c>
      <c r="DO121" s="6" t="s">
        <v>1</v>
      </c>
      <c r="DP121" s="9">
        <f>DP29+DP30+DP34+DP37+DP41+DP42+DP43+DP46+DP47+DP48+DP49+DP50+DP53+DP54+DP57+DP60+DP61+DP64+DP67+DP70+DP73+DP76+DP79+DP82+DP85+DP88+DP78+DP89+DP92+DP95+DP98+DP101+DP104+DP108+DP105+DP38</f>
        <v>24253446</v>
      </c>
      <c r="DQ121" s="23">
        <f>DN121*100/DG121-100</f>
        <v>1.3317711706993691</v>
      </c>
      <c r="DR121" s="24" t="s">
        <v>1</v>
      </c>
      <c r="DS121" s="23">
        <f>DP121*100/DI121-100</f>
        <v>-10.686060074884168</v>
      </c>
      <c r="DT121" s="8"/>
      <c r="DU121" s="19">
        <f>DU29+DU30+DU34+DU37+DU41+DU42+DU43+DU46+DU47+DU48+DU49+DU50+DU53+DU54+DU57+DU60+DU61+DU64+DU67+DU70+DU73+DU76+DU79+DU82+DU85+DU88+DU78+DU89+DU92+DU95+DU98+DU101+DU104+DU108+DU105+DU38</f>
        <v>64536.590000000004</v>
      </c>
      <c r="DV121" s="6" t="s">
        <v>1</v>
      </c>
      <c r="DW121" s="9">
        <f>DW29+DW30+DW34+DW37+DW41+DW42+DW43+DW46+DW47+DW48+DW49+DW50+DW53+DW54+DW57+DW60+DW61+DW64+DW67+DW70+DW73+DW76+DW79+DW82+DW85+DW88+DW78+DW89+DW92+DW95+DW98+DW101+DW104+DW108+DW105+DW38</f>
        <v>24483482</v>
      </c>
      <c r="DX121" s="23">
        <f>DU121*100/DN121-100</f>
        <v>1.1368070610823935</v>
      </c>
      <c r="DY121" s="24" t="s">
        <v>1</v>
      </c>
      <c r="DZ121" s="23">
        <f>DW121*100/DP121-100</f>
        <v>0.948467281721534</v>
      </c>
      <c r="EA121" s="8"/>
      <c r="EB121" s="19">
        <f>EB29+EB30+EB34+EB37+EB41+EB42+EB43+EB46+EB47+EB48+EB49+EB50+EB53+EB54+EB57+EB60+EB61+EB64+EB67+EB70+EB73+EB76+EB79+EB82+EB85+EB88+EB78+EB89+EB92+EB95+EB98+EB101+EB104+EB108+EB105+EB38</f>
        <v>67391.91</v>
      </c>
      <c r="EC121" s="6" t="s">
        <v>1</v>
      </c>
      <c r="ED121" s="9">
        <f>ED29+ED30+ED34+ED37+ED41+ED42+ED43+ED46+ED47+ED48+ED49+ED50+ED53+ED54+ED57+ED60+ED61+ED64+ED67+ED70+ED73+ED76+ED79+ED82+ED85+ED88+ED78+ED89+ED92+ED95+ED98+ED101+ED104+ED108+ED105+ED38</f>
        <v>32561474</v>
      </c>
      <c r="EE121" s="23">
        <f>EB121*100/DU121-100</f>
        <v>4.424342841789439</v>
      </c>
      <c r="EF121" s="24" t="s">
        <v>1</v>
      </c>
      <c r="EG121" s="23">
        <f>ED121*100/DW121-100</f>
        <v>32.9936403653696</v>
      </c>
      <c r="EH121" s="8"/>
      <c r="EI121" s="19">
        <f>EI29+EI30+EI34+EI37+EI41+EI42+EI43+EI46+EI47+EI48+EI49+EI50+EI53+EI54+EI57+EI60+EI61+EI64+EI67+EI70+EI73+EI76+EI79+EI82+EI85+EI88+EI78+EI89+EI92+EI95+EI98+EI101+EI104+EI108+EI105+EI38</f>
        <v>59371.640000000014</v>
      </c>
      <c r="EJ121" s="6" t="s">
        <v>1</v>
      </c>
      <c r="EK121" s="9">
        <f>EK29+EK30+EK34+EK37+EK41+EK42+EK43+EK46+EK47+EK48+EK49+EK50+EK53+EK54+EK57+EK60+EK61+EK64+EK67+EK70+EK73+EK76+EK79+EK82+EK85+EK88+EK78+EK89+EK92+EK95+EK98+EK101+EK104+EK108+EK105+EK38</f>
        <v>25181495</v>
      </c>
      <c r="EL121" s="23">
        <f>EI121*100/EB121-100</f>
        <v>-11.90093885156243</v>
      </c>
      <c r="EM121" s="24" t="s">
        <v>1</v>
      </c>
      <c r="EN121" s="23">
        <f>EK121*100/ED121-100</f>
        <v>-22.66475712985229</v>
      </c>
      <c r="EO121" s="8"/>
      <c r="EP121" s="19">
        <f>EP29+EP30+EP34+EP37+EP41+EP42+EP43+EP46+EP47+EP48+EP49+EP50+EP53+EP54+EP57+EP60+EP61+EP64+EP67+EP70+EP73+EP76+EP79+EP82+EP85+EP88+EP78+EP89+EP92+EP95+EP98+EP101+EP104+EP108+EP105+EP38</f>
        <v>56856.06000000001</v>
      </c>
      <c r="EQ121" s="6" t="s">
        <v>1</v>
      </c>
      <c r="ER121" s="9">
        <f>ER29+ER30+ER34+ER37+ER41+ER42+ER43+ER46+ER47+ER48+ER49+ER50+ER53+ER54+ER57+ER60+ER61+ER64+ER67+ER70+ER73+ER76+ER79+ER82+ER85+ER88+ER78+ER89+ER92+ER95+ER98+ER101+ER104+ER108+ER105+ER38</f>
        <v>24238312</v>
      </c>
      <c r="ES121" s="23">
        <f>EP121*100/EI121-100</f>
        <v>-4.237006085733867</v>
      </c>
      <c r="ET121" s="24" t="s">
        <v>1</v>
      </c>
      <c r="EU121" s="23">
        <f>ER121*100/EK121-100</f>
        <v>-3.7455401277803446</v>
      </c>
      <c r="EV121" s="8"/>
      <c r="EW121" s="19">
        <f>EW29+EW30+EW34+EW37+EW41+EW42+EW43+EW46+EW47+EW48+EW49+EW50+EW53+EW54+EW57+EW60+EW61+EW64+EW67+EW70+EW73+EW76+EW79+EW82+EW85+EW88+EW78+EW89+EW92+EW95+EW98+EW101+EW104+EW108+EW105+EW38</f>
        <v>56410.380000000005</v>
      </c>
      <c r="EX121" s="6" t="s">
        <v>1</v>
      </c>
      <c r="EY121" s="9">
        <f>EY29+EY30+EY34+EY37+EY41+EY42+EY43+EY46+EY47+EY48+EY49+EY50+EY53+EY54+EY57+EY60+EY61+EY64+EY67+EY70+EY73+EY76+EY79+EY82+EY85+EY88+EY78+EY89+EY92+EY95+EY98+EY101+EY104+EY108+EY105+EY38</f>
        <v>24223877</v>
      </c>
      <c r="EZ121" s="9">
        <f>EZ29+EZ30+EZ34+EZ37+EZ41+EZ42+EZ43+EZ46+EZ47+EZ48+EZ49+EZ50+EZ53+EZ54+EZ57+EZ60+EZ61+EZ64+EZ67+EZ70+EZ73+EZ76+EZ79+EZ82+EZ85+EZ88+EZ78+EZ89+EZ92+EZ95+EZ98+EZ101+EZ104+EZ108+EZ105+EZ38</f>
        <v>23941653</v>
      </c>
      <c r="FA121" s="23">
        <f>EW121*100/EP121-100</f>
        <v>-0.7838742255443236</v>
      </c>
      <c r="FB121" s="24" t="s">
        <v>1</v>
      </c>
      <c r="FC121" s="23">
        <f>EZ121*100/ER121-100</f>
        <v>-1.2239259895656147</v>
      </c>
      <c r="FD121" s="8"/>
      <c r="FE121" s="9">
        <f>FE29+FE30+FE34+FE37+FE41+FE42+FE43+FE46+FE47+FE48+FE49+FE50+FE53+FE54+FE57+FE60+FE61+FE64+FE67+FE70+FE73+FE76+FE79+FE82+FE85+FE88+FE78+FE89+FE92+FE95+FE98+FE101+FE104+FE108+FE105+FE38</f>
        <v>57098.240000000005</v>
      </c>
      <c r="FF121" s="6" t="s">
        <v>1</v>
      </c>
      <c r="FG121" s="9">
        <f>FG29+FG30+FG34+FG37+FG41+FG42+FG43+FG46+FG47+FG48+FG49+FG50+FG53+FG54+FG57+FG60+FG61+FG64+FG67+FG70+FG73+FG76+FG79+FG82+FG85+FG88+FG78+FG89+FG92+FG95+FG98+FG101+FG104+FG108+FG105+FG38</f>
        <v>23674095</v>
      </c>
      <c r="FH121" s="9">
        <f>FH29+FH30+FH34+FH37+FH41+FH42+FH43+FH46+FH47+FH48+FH49+FH50+FH53+FH54+FH57+FH60+FH61+FH64+FH67+FH70+FH73+FH76+FH79+FH82+FH85+FH88+FH78+FH89+FH92+FH95+FH98+FH101+FH104+FH108+FH105+FH38</f>
        <v>23620184</v>
      </c>
      <c r="FI121" s="23">
        <f>FE121*100/EW121-100</f>
        <v>1.2193855102553925</v>
      </c>
      <c r="FJ121" s="24" t="s">
        <v>1</v>
      </c>
      <c r="FK121" s="23">
        <f t="shared" si="468"/>
        <v>-2.2695871515529973</v>
      </c>
      <c r="FL121" s="23">
        <f t="shared" si="468"/>
        <v>-1.342718483138981</v>
      </c>
      <c r="FM121" s="23"/>
      <c r="FN121" s="9">
        <f>FN29+FN30+FN34+FN37+FN41+FN42+FN43+FN46+FN47+FN48+FN49+FN50+FN53+FN54+FN57+FN60+FN61+FN64+FN67+FN70+FN73+FN76+FN79+FN82+FN85+FN88+FN78+FN89+FN92+FN95+FN98+FN101+FN104+FN108+FN105+FN38</f>
        <v>61242.15</v>
      </c>
      <c r="FO121" s="6" t="s">
        <v>1</v>
      </c>
      <c r="FP121" s="9">
        <f>FP29+FP30+FP34+FP37+FP41+FP42+FP43+FP46+FP47+FP48+FP49+FP50+FP53+FP54+FP57+FP60+FP61+FP64+FP67+FP70+FP73+FP76+FP79+FP82+FP85+FP88+FP78+FP89+FP92+FP95+FP98+FP101+FP104+FP108+FP105+FP38</f>
        <v>29266395</v>
      </c>
      <c r="FQ121" s="9">
        <f>FQ29+FQ30+FQ34+FQ37+FQ41+FQ42+FQ43+FQ46+FQ47+FQ48+FQ49+FQ50+FQ53+FQ54+FQ57+FQ60+FQ61+FQ64+FQ67+FQ70+FQ73+FQ76+FQ79+FQ82+FQ85+FQ88+FQ78+FQ89+FQ92+FQ95+FQ98+FQ101+FQ104+FQ108+FQ105+FQ38</f>
        <v>28973755</v>
      </c>
      <c r="FR121" s="23">
        <f t="shared" si="461"/>
        <v>7.25750916315458</v>
      </c>
      <c r="FS121" s="24" t="s">
        <v>1</v>
      </c>
      <c r="FT121" s="23">
        <f t="shared" si="368"/>
        <v>23.622022299057264</v>
      </c>
      <c r="FU121" s="23">
        <f t="shared" si="368"/>
        <v>22.66523834022631</v>
      </c>
      <c r="FV121" s="23"/>
      <c r="FW121" s="9">
        <f>FW29+FW30+FW34+FW37+FW41+FW42+FW43+FW46+FW47+FW48+FW49+FW50+FW53+FW54+FW57+FW60+FW61+FW64+FW67+FW70+FW73+FW76+FW79+FW82+FW85+FW88+FW78+FW89+FW92+FW95+FW98+FW101+FW104+FW108+FW105+FW38</f>
        <v>54039.98</v>
      </c>
      <c r="FX121" s="6" t="s">
        <v>1</v>
      </c>
      <c r="FY121" s="9">
        <f>FY29+FY30+FY34+FY37+FY41+FY42+FY43+FY46+FY47+FY48+FY49+FY50+FY53+FY54+FY57+FY60+FY61+FY64+FY67+FY70+FY73+FY76+FY79+FY82+FY85+FY88+FY78+FY89+FY92+FY95+FY98+FY101+FY104+FY108+FY105+FY38</f>
        <v>22105012</v>
      </c>
      <c r="FZ121" s="9">
        <f>FZ29+FZ30+FZ34+FZ37+FZ41+FZ42+FZ43+FZ46+FZ47+FZ48+FZ49+FZ50+FZ53+FZ54+FZ57+FZ60+FZ61+FZ64+FZ67+FZ70+FZ73+FZ76+FZ79+FZ82+FZ85+FZ88+FZ78+FZ89+FZ92+FZ95+FZ98+FZ101+FZ104+FZ108+FZ105+FZ38</f>
        <v>25053696</v>
      </c>
      <c r="GA121" s="23">
        <f t="shared" si="462"/>
        <v>-11.76015211745505</v>
      </c>
      <c r="GB121" s="23" t="e">
        <f t="shared" si="462"/>
        <v>#DIV/0!</v>
      </c>
      <c r="GC121" s="23">
        <f t="shared" si="462"/>
        <v>-24.46964513394971</v>
      </c>
      <c r="GD121" s="23">
        <f t="shared" si="462"/>
        <v>-13.529689196308865</v>
      </c>
      <c r="GE121" s="23"/>
      <c r="GF121" s="9">
        <f>GF29+GF30+GF34+GF37+GF41+GF42+GF43+GF46+GF47+GF48+GF49+GF50+GF53+GF54+GF57+GF60+GF61+GF64+GF67+GF70+GF73+GF76+GF79+GF82+GF85+GF88+GF78+GF89+GF92+GF95+GF98+GF101+GF104+GF108+GF105+GF38</f>
        <v>59197.38</v>
      </c>
      <c r="GG121" s="6" t="s">
        <v>1</v>
      </c>
      <c r="GH121" s="9">
        <f>GH29+GH30+GH34+GH37+GH41+GH42+GH43+GH46+GH47+GH48+GH49+GH50+GH53+GH54+GH57+GH60+GH61+GH64+GH67+GH70+GH73+GH76+GH79+GH82+GH85+GH88+GH78+GH89+GH92+GH95+GH98+GH101+GH104+GH108+GH105+GH38</f>
        <v>26863223</v>
      </c>
      <c r="GI121" s="9">
        <f>GI29+GI30+GI34+GI37+GI41+GI42+GI43+GI46+GI47+GI48+GI49+GI50+GI53+GI54+GI57+GI60+GI61+GI64+GI67+GI70+GI73+GI76+GI79+GI82+GI85+GI88+GI78+GI89+GI92+GI95+GI98+GI101+GI104+GI108+GI105+GI38</f>
        <v>26817493</v>
      </c>
      <c r="GJ121" s="23">
        <f>GF121*100/FW121-100</f>
        <v>9.543674886630228</v>
      </c>
      <c r="GK121" s="24" t="s">
        <v>1</v>
      </c>
      <c r="GL121" s="23">
        <f t="shared" si="474"/>
        <v>21.525484808603593</v>
      </c>
      <c r="GM121" s="23">
        <f t="shared" si="474"/>
        <v>7.040067062360777</v>
      </c>
      <c r="GN121" s="23"/>
      <c r="GO121" s="9">
        <f>GO29+GO30+GO34+GO37+GO41+GO42+GO43+GO46+GO47+GO48+GO49+GO50+GO53+GO54+GO57+GO60+GO61+GO64+GO67+GO70+GO73+GO76+GO79+GO82+GO85+GO88+GO78+GO89+GO92+GO95+GO98+GO101+GO104+GO108+GO105+GO38</f>
        <v>54785.649999999994</v>
      </c>
      <c r="GP121" s="6" t="s">
        <v>1</v>
      </c>
      <c r="GQ121" s="9">
        <f>GQ29+GQ30+GQ34+GQ37+GQ41+GQ42+GQ43+GQ46+GQ47+GQ48+GQ49+GQ50+GQ53+GQ54+GQ57+GQ60+GQ61+GQ64+GQ67+GQ70+GQ73+GQ76+GQ79+GQ82+GQ85+GQ88+GQ78+GQ89+GQ92+GQ95+GQ98+GQ101+GQ104+GQ108+GQ105+GQ38</f>
        <v>23915223</v>
      </c>
      <c r="GR121" s="9">
        <f>GR29+GR30+GR34+GR37+GR41+GR42+GR43+GR46+GR47+GR48+GR49+GR50+GR53+GR54+GR57+GR60+GR61+GR64+GR67+GR70+GR73+GR76+GR79+GR82+GR85+GR88+GR78+GR89+GR92+GR95+GR98+GR101+GR104+GR108+GR105+GR38</f>
        <v>23884760</v>
      </c>
      <c r="GS121" s="23">
        <f>GO121*100/GF121-100</f>
        <v>-7.45257644848472</v>
      </c>
      <c r="GT121" s="24" t="s">
        <v>1</v>
      </c>
      <c r="GU121" s="23">
        <f t="shared" si="469"/>
        <v>-10.974111334295216</v>
      </c>
      <c r="GV121" s="23">
        <f t="shared" si="469"/>
        <v>-10.935895461965814</v>
      </c>
      <c r="GW121" s="23"/>
      <c r="GX121" s="9">
        <f>GX29+GX30+GX34+GX37+GX41+GX42+GX43+GX46+GX47+GX48+GX49+GX50+GX53+GX54+GX57+GX60+GX61+GX64+GX67+GX70+GX73+GX76+GX79+GX82+GX85+GX88+GX78+GX89+GX92+GX95+GX98+GX101+GX104+GX108+GX105+GX38</f>
        <v>49587.81</v>
      </c>
      <c r="GY121" s="6" t="s">
        <v>1</v>
      </c>
      <c r="GZ121" s="9">
        <f>GZ29+GZ30+GZ34+GZ37+GZ41+GZ42+GZ43+GZ46+GZ47+GZ48+GZ49+GZ50+GZ53+GZ54+GZ57+GZ60+GZ61+GZ64+GZ67+GZ70+GZ73+GZ76+GZ79+GZ82+GZ85+GZ88+GZ78+GZ89+GZ92+GZ95+GZ98+GZ101+GZ104+GZ108+GZ105+GZ38</f>
        <v>21618153</v>
      </c>
      <c r="HA121" s="9">
        <f>HA29+HA30+HA34+HA37+HA41+HA42+HA43+HA46+HA47+HA48+HA49+HA50+HA53+HA54+HA57+HA60+HA61+HA64+HA67+HA70+HA73+HA76+HA79+HA82+HA85+HA88+HA78+HA89+HA92+HA95+HA98+HA101+HA104+HA108+HA105+HA38</f>
        <v>21529030</v>
      </c>
      <c r="HB121" s="23">
        <f>GX121*100/GO121-100</f>
        <v>-9.48759392286118</v>
      </c>
      <c r="HC121" s="24" t="s">
        <v>1</v>
      </c>
      <c r="HD121" s="23">
        <f t="shared" si="470"/>
        <v>-9.605053651391842</v>
      </c>
      <c r="HE121" s="23">
        <f t="shared" si="470"/>
        <v>-9.862900024953149</v>
      </c>
      <c r="HF121" s="23"/>
      <c r="HG121" s="9">
        <f>HG29+HG30+HG34+HG37+HG41+HG42+HG43+HG46+HG47+HG48+HG49+HG50+HG53+HG54+HG57+HG60+HG61+HG64+HG67+HG70+HG73+HG76+HG79+HG82+HG85+HG88+HG78+HG89+HG92+HG95+HG98+HG101+HG104+HG108+HG105+HG38</f>
        <v>55596.16999999999</v>
      </c>
      <c r="HH121" s="6" t="s">
        <v>1</v>
      </c>
      <c r="HI121" s="9">
        <f>HI29+HI30+HI34+HI37+HI41+HI42+HI43+HI46+HI47+HI48+HI49+HI50+HI53+HI54+HI57+HI60+HI61+HI64+HI67+HI70+HI73+HI76+HI79+HI82+HI85+HI88+HI78+HI89+HI92+HI95+HI98+HI101+HI104+HI108+HI105+HI38</f>
        <v>25595466</v>
      </c>
      <c r="HJ121" s="9">
        <f>HJ29+HJ30+HJ34+HJ37+HJ41+HJ42+HJ43+HJ46+HJ47+HJ48+HJ49+HJ50+HJ53+HJ54+HJ57+HJ60+HJ61+HJ64+HJ67+HJ70+HJ73+HJ76+HJ79+HJ82+HJ85+HJ88+HJ78+HJ89+HJ92+HJ95+HJ98+HJ101+HJ104+HJ108+HJ105+HJ38</f>
        <v>25522218</v>
      </c>
      <c r="HK121" s="23">
        <f>HG121*100/GX121-100</f>
        <v>12.116606883828894</v>
      </c>
      <c r="HL121" s="24" t="s">
        <v>1</v>
      </c>
      <c r="HM121" s="23">
        <f t="shared" si="471"/>
        <v>18.398024105019516</v>
      </c>
      <c r="HN121" s="23">
        <f t="shared" si="471"/>
        <v>18.547923431757027</v>
      </c>
      <c r="HO121" s="23"/>
      <c r="HP121" s="9">
        <f>HP29+HP30+HP34+HP37+HP41+HP42+HP43+HP46+HP47+HP48+HP49+HP50+HP53+HP54+HP57+HP60+HP61+HP64+HP67+HP70+HP73+HP76+HP79+HP82+HP85+HP88+HP78+HP89+HP92+HP95+HP98+HP101+HP104+HP108+HP105+HP38</f>
        <v>56514.04</v>
      </c>
      <c r="HQ121" s="6" t="s">
        <v>1</v>
      </c>
      <c r="HR121" s="9">
        <f>HR29+HR30+HR34+HR37+HR41+HR42+HR43+HR46+HR47+HR48+HR49+HR50+HR53+HR54+HR57+HR60+HR61+HR64+HR67+HR70+HR73+HR76+HR79+HR82+HR85+HR88+HR78+HR89+HR92+HR95+HR98+HR101+HR104+HR108+HR105+HR38</f>
        <v>26034981</v>
      </c>
      <c r="HS121" s="9">
        <f>HS29+HS30+HS34+HS37+HS41+HS42+HS43+HS46+HS47+HS48+HS49+HS50+HS53+HS54+HS57+HS60+HS61+HS64+HS67+HS70+HS73+HS76+HS79+HS82+HS85+HS88+HS78+HS89+HS92+HS95+HS98+HS101+HS104+HS108+HS105+HS38</f>
        <v>25999260</v>
      </c>
      <c r="HT121" s="23">
        <f>HP121*100/HG121-100</f>
        <v>1.6509590498770166</v>
      </c>
      <c r="HU121" s="24" t="s">
        <v>1</v>
      </c>
      <c r="HV121" s="23">
        <f t="shared" si="472"/>
        <v>1.7171595938124398</v>
      </c>
      <c r="HW121" s="23">
        <f t="shared" si="472"/>
        <v>1.869124384095457</v>
      </c>
      <c r="HX121" s="23"/>
      <c r="HY121" s="9">
        <f>HY29+HY30+HY34+HY37+HY41+HY42+HY43+HY46+HY47+HY48+HY49+HY50+HY53+HY54+HY57+HY60+HY61+HY64+HY67+HY70+HY73+HY76+HY79+HY82+HY85+HY88+HY78+HY89+HY92+HY95+HY98+HY101+HY104+HY108+HY105+HY38</f>
        <v>28255</v>
      </c>
      <c r="HZ121" s="6" t="s">
        <v>1</v>
      </c>
      <c r="IA121" s="9">
        <f>IA29+IA30+IA34+IA37+IA41+IA42+IA43+IA46+IA47+IA48+IA49+IA50+IA53+IA54+IA57+IA60+IA61+IA64+IA67+IA70+IA73+IA76+IA79+IA82+IA85+IA88+IA78+IA89+IA92+IA95+IA98+IA101+IA104+IA108+IA105+IA38</f>
        <v>7329445</v>
      </c>
      <c r="IB121" s="9">
        <f>IB29+IB30+IB34+IB37+IB41+IB42+IB43+IB46+IB47+IB48+IB49+IB50+IB53+IB54+IB57+IB60+IB61+IB64+IB67+IB70+IB73+IB76+IB79+IB82+IB85+IB88+IB78+IB89+IB92+IB95+IB98+IB101+IB104+IB108+IB105+IB38</f>
        <v>7324671</v>
      </c>
      <c r="IC121" s="23">
        <f>HY121*100/HP121-100</f>
        <v>-50.003574333032994</v>
      </c>
      <c r="ID121" s="24" t="s">
        <v>1</v>
      </c>
      <c r="IE121" s="23">
        <f t="shared" si="473"/>
        <v>-71.8477036722247</v>
      </c>
      <c r="IF121" s="23">
        <f t="shared" si="473"/>
        <v>-71.82738662561934</v>
      </c>
      <c r="IG121" s="23"/>
    </row>
    <row r="122" spans="1:241" ht="12">
      <c r="A122" s="1" t="s">
        <v>115</v>
      </c>
      <c r="B122" s="19">
        <f>SUM(B109:B115)</f>
        <v>122406</v>
      </c>
      <c r="C122" s="6" t="s">
        <v>1</v>
      </c>
      <c r="D122" s="9">
        <f>SUM(D109:D115)</f>
        <v>41637360</v>
      </c>
      <c r="E122" s="9"/>
      <c r="F122" s="19">
        <f>SUM(F109:F115)</f>
        <v>156332</v>
      </c>
      <c r="G122" s="6" t="s">
        <v>1</v>
      </c>
      <c r="H122" s="9">
        <f>SUM(H109:H115)</f>
        <v>56903981</v>
      </c>
      <c r="I122" s="23">
        <f>F122*100/B122-100</f>
        <v>27.71596163586753</v>
      </c>
      <c r="J122" s="24" t="s">
        <v>1</v>
      </c>
      <c r="K122" s="23">
        <f>H122*100/D122-100</f>
        <v>36.66567957238402</v>
      </c>
      <c r="L122" s="8"/>
      <c r="M122" s="19">
        <f>SUM(M109:M115)</f>
        <v>182141</v>
      </c>
      <c r="N122" s="6" t="s">
        <v>1</v>
      </c>
      <c r="O122" s="9">
        <f>SUM(O109:O115)</f>
        <v>54304671</v>
      </c>
      <c r="P122" s="23">
        <f>M122*100/F122-100</f>
        <v>16.509096026405345</v>
      </c>
      <c r="Q122" s="24" t="s">
        <v>1</v>
      </c>
      <c r="R122" s="23">
        <f>O122*100/H122-100</f>
        <v>-4.567887789783981</v>
      </c>
      <c r="S122" s="8"/>
      <c r="T122" s="19">
        <f>SUM(T109:T115)</f>
        <v>176778</v>
      </c>
      <c r="U122" s="6" t="s">
        <v>1</v>
      </c>
      <c r="V122" s="9">
        <f>SUM(V109:V115)</f>
        <v>53589357</v>
      </c>
      <c r="W122" s="23">
        <f>T122*100/M122-100</f>
        <v>-2.944422178422215</v>
      </c>
      <c r="X122" s="24" t="s">
        <v>1</v>
      </c>
      <c r="Y122" s="23">
        <f>V122*100/O122-100</f>
        <v>-1.3172237062259313</v>
      </c>
      <c r="Z122" s="8"/>
      <c r="AA122" s="19">
        <f>SUM(AA109:AA115)</f>
        <v>168256</v>
      </c>
      <c r="AB122" s="6" t="s">
        <v>1</v>
      </c>
      <c r="AC122" s="9">
        <f>SUM(AC109:AC115)</f>
        <v>66531523</v>
      </c>
      <c r="AD122" s="23">
        <f>AA122*100/T122-100</f>
        <v>-4.820735611897405</v>
      </c>
      <c r="AE122" s="24" t="s">
        <v>1</v>
      </c>
      <c r="AF122" s="23">
        <f>AC122*100/V122-100</f>
        <v>24.150627521057956</v>
      </c>
      <c r="AG122" s="8"/>
      <c r="AH122" s="19">
        <f>SUM(AH109:AH115)</f>
        <v>160980</v>
      </c>
      <c r="AI122" s="6" t="s">
        <v>1</v>
      </c>
      <c r="AJ122" s="9">
        <f>SUM(AJ109:AJ115)</f>
        <v>42556777</v>
      </c>
      <c r="AK122" s="23">
        <f>AH122*100/AA122-100</f>
        <v>-4.324362875618107</v>
      </c>
      <c r="AL122" s="24" t="s">
        <v>1</v>
      </c>
      <c r="AM122" s="23">
        <f>AJ122*100/AC122-100</f>
        <v>-36.035167870724976</v>
      </c>
      <c r="AN122" s="8"/>
      <c r="AO122" s="19">
        <f>SUM(AO109:AO115)</f>
        <v>146572</v>
      </c>
      <c r="AP122" s="6" t="s">
        <v>1</v>
      </c>
      <c r="AQ122" s="9">
        <f>SUM(AQ109:AQ115)</f>
        <v>42084310</v>
      </c>
      <c r="AR122" s="23">
        <f>AO122*100/AH122-100</f>
        <v>-8.950180146602065</v>
      </c>
      <c r="AS122" s="24" t="s">
        <v>1</v>
      </c>
      <c r="AT122" s="23">
        <f>AQ122*100/AJ122-100</f>
        <v>-1.1102039047740817</v>
      </c>
      <c r="AU122" s="8"/>
      <c r="AV122" s="19">
        <f>SUM(AV109:AV115)</f>
        <v>140693</v>
      </c>
      <c r="AW122" s="6" t="s">
        <v>1</v>
      </c>
      <c r="AX122" s="9">
        <f>SUM(AX109:AX115)</f>
        <v>50613180</v>
      </c>
      <c r="AY122" s="23">
        <f>AV122*100/AO122-100</f>
        <v>-4.010998007805043</v>
      </c>
      <c r="AZ122" s="24" t="s">
        <v>1</v>
      </c>
      <c r="BA122" s="23">
        <f>AX122*100/AQ122-100</f>
        <v>20.266151446940682</v>
      </c>
      <c r="BB122" s="8"/>
      <c r="BC122" s="19">
        <f>SUM(BC109:BC115)</f>
        <v>116571</v>
      </c>
      <c r="BD122" s="6" t="s">
        <v>1</v>
      </c>
      <c r="BE122" s="9">
        <f>SUM(BE109:BE115)</f>
        <v>36482991</v>
      </c>
      <c r="BF122" s="23">
        <f>BC122*100/AV122-100</f>
        <v>-17.145131598587</v>
      </c>
      <c r="BG122" s="24" t="s">
        <v>1</v>
      </c>
      <c r="BH122" s="23">
        <f>BE122*100/AX122-100</f>
        <v>-27.918002781093776</v>
      </c>
      <c r="BI122" s="8"/>
      <c r="BJ122" s="19">
        <f>SUM(BJ109:BJ115)</f>
        <v>138749</v>
      </c>
      <c r="BK122" s="6" t="s">
        <v>1</v>
      </c>
      <c r="BL122" s="9">
        <f>SUM(BL109:BL115)</f>
        <v>41696678</v>
      </c>
      <c r="BM122" s="23">
        <f>BJ122*100/BC122-100</f>
        <v>19.0253150440504</v>
      </c>
      <c r="BN122" s="24" t="s">
        <v>1</v>
      </c>
      <c r="BO122" s="23">
        <f>BL122*100/BE122-100</f>
        <v>14.29073345439248</v>
      </c>
      <c r="BP122" s="8"/>
      <c r="BQ122" s="19">
        <f>SUM(BQ109:BQ115)</f>
        <v>140183</v>
      </c>
      <c r="BR122" s="6" t="s">
        <v>1</v>
      </c>
      <c r="BS122" s="9">
        <f>SUM(BS109:BS115)</f>
        <v>47241195</v>
      </c>
      <c r="BT122" s="23">
        <f>BQ122*100/BJ122-100</f>
        <v>1.033520962313247</v>
      </c>
      <c r="BU122" s="24" t="s">
        <v>1</v>
      </c>
      <c r="BV122" s="23">
        <f>BS122*100/BL122-100</f>
        <v>13.297263153673782</v>
      </c>
      <c r="BW122" s="8"/>
      <c r="BX122" s="19">
        <f>SUM(BX109:BX115)</f>
        <v>133655</v>
      </c>
      <c r="BY122" s="6" t="s">
        <v>1</v>
      </c>
      <c r="BZ122" s="9">
        <f>SUM(BZ109:BZ115)</f>
        <v>36378835</v>
      </c>
      <c r="CA122" s="23">
        <f>BX122*100/BQ122-100</f>
        <v>-4.656770079110871</v>
      </c>
      <c r="CB122" s="24" t="s">
        <v>1</v>
      </c>
      <c r="CC122" s="23">
        <f>BZ122*100/BS122-100</f>
        <v>-22.99340649617352</v>
      </c>
      <c r="CD122" s="8"/>
      <c r="CE122" s="19">
        <f>SUM(CE109:CE115)</f>
        <v>149198</v>
      </c>
      <c r="CF122" s="6" t="s">
        <v>1</v>
      </c>
      <c r="CG122" s="9">
        <f>SUM(CG109:CG115)</f>
        <v>45915630</v>
      </c>
      <c r="CH122" s="23">
        <f>CE122*100/BX122-100</f>
        <v>11.629194568104452</v>
      </c>
      <c r="CI122" s="24" t="s">
        <v>1</v>
      </c>
      <c r="CJ122" s="23">
        <f>CG122*100/BZ122-100</f>
        <v>26.21522926723739</v>
      </c>
      <c r="CK122" s="8"/>
      <c r="CL122" s="19">
        <f>SUM(CL109:CL115)</f>
        <v>150961</v>
      </c>
      <c r="CM122" s="6" t="s">
        <v>1</v>
      </c>
      <c r="CN122" s="9">
        <f>SUM(CN109:CN115)</f>
        <v>41687939</v>
      </c>
      <c r="CO122" s="23">
        <f>CL122*100/CE122-100</f>
        <v>1.1816512285687537</v>
      </c>
      <c r="CP122" s="24" t="s">
        <v>1</v>
      </c>
      <c r="CQ122" s="23">
        <f>CN122*100/CG122-100</f>
        <v>-9.20752040209402</v>
      </c>
      <c r="CR122" s="8"/>
      <c r="CS122" s="19">
        <f>SUM(CS109:CS115)</f>
        <v>128495</v>
      </c>
      <c r="CT122" s="6" t="s">
        <v>1</v>
      </c>
      <c r="CU122" s="9">
        <f>SUM(CU109:CU115)</f>
        <v>46965709</v>
      </c>
      <c r="CV122" s="23">
        <f>CS122*100/CL122-100</f>
        <v>-14.88198938798763</v>
      </c>
      <c r="CW122" s="24" t="s">
        <v>1</v>
      </c>
      <c r="CX122" s="23">
        <f>CU122*100/CN122-100</f>
        <v>12.660184520035884</v>
      </c>
      <c r="CY122" s="8"/>
      <c r="CZ122" s="19">
        <f>SUM(CZ109:CZ115)</f>
        <v>122566</v>
      </c>
      <c r="DA122" s="6" t="s">
        <v>1</v>
      </c>
      <c r="DB122" s="9">
        <f>SUM(DB109:DB115)</f>
        <v>39654043</v>
      </c>
      <c r="DC122" s="23">
        <f>CZ122*100/CS122-100</f>
        <v>-4.614187322463906</v>
      </c>
      <c r="DD122" s="24" t="s">
        <v>1</v>
      </c>
      <c r="DE122" s="23">
        <f>DB122*100/CU122-100</f>
        <v>-15.568094585775341</v>
      </c>
      <c r="DF122" s="8"/>
      <c r="DG122" s="19">
        <f>SUM(DG109:DG115)</f>
        <v>112554</v>
      </c>
      <c r="DH122" s="6" t="s">
        <v>1</v>
      </c>
      <c r="DI122" s="9">
        <f>SUM(DI109:DI115)</f>
        <v>35794970</v>
      </c>
      <c r="DJ122" s="23">
        <f>DG122*100/CZ122-100</f>
        <v>-8.168660150449554</v>
      </c>
      <c r="DK122" s="24" t="s">
        <v>1</v>
      </c>
      <c r="DL122" s="23">
        <f>DI122*100/DB122-100</f>
        <v>-9.731852562927827</v>
      </c>
      <c r="DM122" s="8"/>
      <c r="DN122" s="19">
        <f>SUM(DN109:DN115)</f>
        <v>104962</v>
      </c>
      <c r="DO122" s="6" t="s">
        <v>1</v>
      </c>
      <c r="DP122" s="9">
        <f>SUM(DP109:DP115)</f>
        <v>43676140</v>
      </c>
      <c r="DQ122" s="23">
        <f>DN122*100/DG122-100</f>
        <v>-6.745206745206744</v>
      </c>
      <c r="DR122" s="24" t="s">
        <v>1</v>
      </c>
      <c r="DS122" s="23">
        <f>DP122*100/DI122-100</f>
        <v>22.017534865932276</v>
      </c>
      <c r="DT122" s="8"/>
      <c r="DU122" s="19">
        <f>SUM(DU109:DU115)</f>
        <v>92922</v>
      </c>
      <c r="DV122" s="6" t="s">
        <v>1</v>
      </c>
      <c r="DW122" s="9">
        <f>SUM(DW109:DW115)</f>
        <v>23564064</v>
      </c>
      <c r="DX122" s="23">
        <f>DU122*100/DN122-100</f>
        <v>-11.470818010327548</v>
      </c>
      <c r="DY122" s="24" t="s">
        <v>1</v>
      </c>
      <c r="DZ122" s="23">
        <f>DW122*100/DP122-100</f>
        <v>-46.0481993143167</v>
      </c>
      <c r="EA122" s="8"/>
      <c r="EB122" s="19">
        <f>SUM(EB109:EB115)</f>
        <v>84431</v>
      </c>
      <c r="EC122" s="6" t="s">
        <v>1</v>
      </c>
      <c r="ED122" s="9">
        <f>SUM(ED109:ED115)</f>
        <v>28258925</v>
      </c>
      <c r="EE122" s="23">
        <f>EB122*100/DU122-100</f>
        <v>-9.137771464238824</v>
      </c>
      <c r="EF122" s="24" t="s">
        <v>1</v>
      </c>
      <c r="EG122" s="23">
        <f>ED122*100/DW122-100</f>
        <v>19.923817046159783</v>
      </c>
      <c r="EH122" s="8"/>
      <c r="EI122" s="19">
        <f>SUM(EI109:EI115)</f>
        <v>107381</v>
      </c>
      <c r="EJ122" s="6" t="s">
        <v>1</v>
      </c>
      <c r="EK122" s="9">
        <f>SUM(EK109:EK115)</f>
        <v>48793918</v>
      </c>
      <c r="EL122" s="23">
        <f>EI122*100/EB122-100</f>
        <v>27.181959232983147</v>
      </c>
      <c r="EM122" s="24" t="s">
        <v>1</v>
      </c>
      <c r="EN122" s="23">
        <f>EK122*100/ED122-100</f>
        <v>72.6672829911258</v>
      </c>
      <c r="EO122" s="8"/>
      <c r="EP122" s="19">
        <f>SUM(EP109:EP115)</f>
        <v>77839</v>
      </c>
      <c r="EQ122" s="6" t="s">
        <v>1</v>
      </c>
      <c r="ER122" s="9">
        <f>SUM(ER109:ER115)</f>
        <v>18823591</v>
      </c>
      <c r="ES122" s="23">
        <f>EP122*100/EI122-100</f>
        <v>-27.51138469561654</v>
      </c>
      <c r="ET122" s="24" t="s">
        <v>1</v>
      </c>
      <c r="EU122" s="23">
        <f>ER122*100/EK122-100</f>
        <v>-61.42225963489958</v>
      </c>
      <c r="EV122" s="8"/>
      <c r="EW122" s="19">
        <f>SUM(EW109:EW115)</f>
        <v>57758</v>
      </c>
      <c r="EX122" s="6" t="s">
        <v>1</v>
      </c>
      <c r="EY122" s="9">
        <f>SUM(EY109:EY115)</f>
        <v>20536269</v>
      </c>
      <c r="EZ122" s="9">
        <f>SUM(EZ109:EZ115)</f>
        <v>18965497</v>
      </c>
      <c r="FA122" s="23">
        <f>EW122*100/EP122-100</f>
        <v>-25.798121764154217</v>
      </c>
      <c r="FB122" s="24" t="s">
        <v>1</v>
      </c>
      <c r="FC122" s="23">
        <f>EZ122*100/ER122-100</f>
        <v>0.753873158421257</v>
      </c>
      <c r="FD122" s="8"/>
      <c r="FE122" s="9">
        <f>SUM(FE109:FE115)</f>
        <v>46365</v>
      </c>
      <c r="FF122" s="6" t="s">
        <v>1</v>
      </c>
      <c r="FG122" s="9">
        <f>SUM(FG109:FG115)</f>
        <v>18357439</v>
      </c>
      <c r="FH122" s="9">
        <f>SUM(FH109:FH115)</f>
        <v>16955201</v>
      </c>
      <c r="FI122" s="23">
        <f>FE122*100/EW122-100</f>
        <v>-19.725406004363037</v>
      </c>
      <c r="FJ122" s="24" t="s">
        <v>1</v>
      </c>
      <c r="FK122" s="23">
        <f t="shared" si="468"/>
        <v>-10.609668192406318</v>
      </c>
      <c r="FL122" s="23">
        <f t="shared" si="468"/>
        <v>-10.599753858282753</v>
      </c>
      <c r="FM122" s="23"/>
      <c r="FN122" s="9">
        <f>SUM(FN109:FN115)</f>
        <v>54870</v>
      </c>
      <c r="FO122" s="6" t="s">
        <v>1</v>
      </c>
      <c r="FP122" s="9">
        <f>SUM(FP109:FP115)</f>
        <v>17016291</v>
      </c>
      <c r="FQ122" s="9">
        <f>SUM(FQ109:FQ115)</f>
        <v>15804742</v>
      </c>
      <c r="FR122" s="23">
        <f t="shared" si="461"/>
        <v>18.343578130054993</v>
      </c>
      <c r="FS122" s="24" t="s">
        <v>1</v>
      </c>
      <c r="FT122" s="23">
        <f t="shared" si="368"/>
        <v>-7.305746732972935</v>
      </c>
      <c r="FU122" s="23">
        <f t="shared" si="368"/>
        <v>-6.785286709370183</v>
      </c>
      <c r="FV122" s="23"/>
      <c r="FW122" s="9">
        <f>SUM(FW109:FW115)</f>
        <v>56850</v>
      </c>
      <c r="FX122" s="6" t="s">
        <v>1</v>
      </c>
      <c r="FY122" s="9">
        <f>SUM(FY109:FY115)</f>
        <v>18816382</v>
      </c>
      <c r="FZ122" s="9">
        <f>SUM(FZ109:FZ115)</f>
        <v>16552461</v>
      </c>
      <c r="GA122" s="23">
        <f t="shared" si="462"/>
        <v>3.6085292509568063</v>
      </c>
      <c r="GB122" s="23" t="e">
        <f t="shared" si="462"/>
        <v>#DIV/0!</v>
      </c>
      <c r="GC122" s="23">
        <f t="shared" si="462"/>
        <v>10.578633146318424</v>
      </c>
      <c r="GD122" s="23">
        <f t="shared" si="462"/>
        <v>4.730978841666641</v>
      </c>
      <c r="GE122" s="23"/>
      <c r="GF122" s="9">
        <f>SUM(GF109:GF115)</f>
        <v>53183</v>
      </c>
      <c r="GG122" s="6" t="s">
        <v>1</v>
      </c>
      <c r="GH122" s="9">
        <f>SUM(GH109:GH115)</f>
        <v>14793186</v>
      </c>
      <c r="GI122" s="9">
        <f>SUM(GI109:GI115)</f>
        <v>13335828</v>
      </c>
      <c r="GJ122" s="23">
        <f>GF122*100/FW122-100</f>
        <v>-6.450307827616541</v>
      </c>
      <c r="GK122" s="24" t="s">
        <v>1</v>
      </c>
      <c r="GL122" s="23">
        <f t="shared" si="474"/>
        <v>-21.38134738123408</v>
      </c>
      <c r="GM122" s="23">
        <f t="shared" si="474"/>
        <v>-19.43295924394566</v>
      </c>
      <c r="GN122" s="23"/>
      <c r="GO122" s="9">
        <f>SUM(GO109:GO115)</f>
        <v>47354</v>
      </c>
      <c r="GP122" s="6" t="s">
        <v>1</v>
      </c>
      <c r="GQ122" s="9">
        <f>SUM(GQ109:GQ115)</f>
        <v>14129622</v>
      </c>
      <c r="GR122" s="9">
        <f>SUM(GR109:GR115)</f>
        <v>12473473</v>
      </c>
      <c r="GS122" s="23">
        <f>GO122*100/GF122-100</f>
        <v>-10.960269258973739</v>
      </c>
      <c r="GT122" s="24" t="s">
        <v>1</v>
      </c>
      <c r="GU122" s="23">
        <f t="shared" si="469"/>
        <v>-4.485605737668678</v>
      </c>
      <c r="GV122" s="23">
        <f t="shared" si="469"/>
        <v>-6.466452626713547</v>
      </c>
      <c r="GW122" s="23"/>
      <c r="GX122" s="9">
        <f>SUM(GX109:GX115)</f>
        <v>49099</v>
      </c>
      <c r="GY122" s="6" t="s">
        <v>1</v>
      </c>
      <c r="GZ122" s="9">
        <f>SUM(GZ109:GZ115)</f>
        <v>13428383</v>
      </c>
      <c r="HA122" s="9">
        <f>SUM(HA109:HA115)</f>
        <v>11954035</v>
      </c>
      <c r="HB122" s="23">
        <f>GX122*100/GO122-100</f>
        <v>3.685010769945521</v>
      </c>
      <c r="HC122" s="24" t="s">
        <v>1</v>
      </c>
      <c r="HD122" s="23">
        <f t="shared" si="470"/>
        <v>-4.962899927542296</v>
      </c>
      <c r="HE122" s="23">
        <f t="shared" si="470"/>
        <v>-4.164341398742749</v>
      </c>
      <c r="HF122" s="23"/>
      <c r="HG122" s="9">
        <f>SUM(HG109:HG115)</f>
        <v>59142</v>
      </c>
      <c r="HH122" s="6" t="s">
        <v>1</v>
      </c>
      <c r="HI122" s="9">
        <f>SUM(HI109:HI115)</f>
        <v>24692500</v>
      </c>
      <c r="HJ122" s="9">
        <f>SUM(HJ109:HJ115)</f>
        <v>21691458</v>
      </c>
      <c r="HK122" s="23">
        <f>HG122*100/GX122-100</f>
        <v>20.45459174321269</v>
      </c>
      <c r="HL122" s="24" t="s">
        <v>1</v>
      </c>
      <c r="HM122" s="23">
        <f t="shared" si="471"/>
        <v>83.88289937813065</v>
      </c>
      <c r="HN122" s="23">
        <f t="shared" si="471"/>
        <v>81.45720670886442</v>
      </c>
      <c r="HO122" s="23"/>
      <c r="HP122" s="9">
        <f>SUM(HP109:HP115)</f>
        <v>66969</v>
      </c>
      <c r="HQ122" s="6" t="s">
        <v>1</v>
      </c>
      <c r="HR122" s="9">
        <f>SUM(HR109:HR115)</f>
        <v>15657424</v>
      </c>
      <c r="HS122" s="9">
        <f>SUM(HS109:HS115)</f>
        <v>13944086</v>
      </c>
      <c r="HT122" s="23">
        <f>HP122*100/HG122-100</f>
        <v>13.234249771735819</v>
      </c>
      <c r="HU122" s="24" t="s">
        <v>1</v>
      </c>
      <c r="HV122" s="23">
        <f t="shared" si="472"/>
        <v>-36.590365495595826</v>
      </c>
      <c r="HW122" s="23">
        <f t="shared" si="472"/>
        <v>-35.71623447349643</v>
      </c>
      <c r="HX122" s="23"/>
      <c r="HY122" s="9">
        <f>SUM(HY109:HY115)</f>
        <v>50280</v>
      </c>
      <c r="HZ122" s="6" t="s">
        <v>1</v>
      </c>
      <c r="IA122" s="9">
        <f>SUM(IA109:IA115)</f>
        <v>1800201</v>
      </c>
      <c r="IB122" s="9">
        <f>SUM(IB109:IB115)</f>
        <v>1800201</v>
      </c>
      <c r="IC122" s="23">
        <f>HY122*100/HP122-100</f>
        <v>-24.920485597813908</v>
      </c>
      <c r="ID122" s="24" t="s">
        <v>1</v>
      </c>
      <c r="IE122" s="23">
        <f t="shared" si="473"/>
        <v>-88.50257232607356</v>
      </c>
      <c r="IF122" s="23">
        <f t="shared" si="473"/>
        <v>-87.08986017441373</v>
      </c>
      <c r="IG122" s="23"/>
    </row>
    <row r="123" spans="1:241" ht="12.75" thickBo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18"/>
    </row>
    <row r="124" spans="1:241" ht="12">
      <c r="A124" s="40" t="s">
        <v>139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</row>
    <row r="125" ht="12">
      <c r="A125" s="1" t="s">
        <v>116</v>
      </c>
    </row>
    <row r="126" ht="12">
      <c r="A126" s="1" t="s">
        <v>125</v>
      </c>
    </row>
    <row r="127" ht="12">
      <c r="A127" s="1" t="s">
        <v>117</v>
      </c>
    </row>
    <row r="128" ht="12">
      <c r="A128" s="1" t="s">
        <v>118</v>
      </c>
    </row>
    <row r="129" ht="12">
      <c r="A129" s="1" t="s">
        <v>119</v>
      </c>
    </row>
    <row r="130" ht="12">
      <c r="A130" s="1" t="s">
        <v>120</v>
      </c>
    </row>
    <row r="131" ht="12">
      <c r="A131" s="1" t="s">
        <v>121</v>
      </c>
    </row>
    <row r="132" ht="12">
      <c r="A132" s="1" t="s">
        <v>126</v>
      </c>
    </row>
    <row r="133" ht="12">
      <c r="A133" s="1" t="s">
        <v>127</v>
      </c>
    </row>
    <row r="134" ht="12">
      <c r="A134" s="1" t="s">
        <v>128</v>
      </c>
    </row>
    <row r="135" ht="12">
      <c r="A135" s="1" t="s">
        <v>129</v>
      </c>
    </row>
    <row r="137" ht="12">
      <c r="A137" s="3" t="s">
        <v>150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137"/>
  <sheetViews>
    <sheetView tabSelected="1" zoomScalePageLayoutView="0" workbookViewId="0" topLeftCell="A1">
      <pane xSplit="1" ySplit="11" topLeftCell="BZ8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B110" sqref="CB110:CC110"/>
    </sheetView>
  </sheetViews>
  <sheetFormatPr defaultColWidth="11.625" defaultRowHeight="12.75"/>
  <cols>
    <col min="1" max="1" width="21.625" style="2" customWidth="1"/>
    <col min="2" max="5" width="11.625" style="2" customWidth="1"/>
    <col min="6" max="6" width="0.875" style="2" customWidth="1"/>
    <col min="7" max="14" width="11.625" style="2" customWidth="1"/>
    <col min="15" max="15" width="0.6171875" style="2" customWidth="1"/>
    <col min="16" max="23" width="11.625" style="2" customWidth="1"/>
    <col min="24" max="24" width="0.6171875" style="2" customWidth="1"/>
    <col min="25" max="32" width="11.625" style="2" customWidth="1"/>
    <col min="33" max="33" width="0.6171875" style="2" customWidth="1"/>
    <col min="34" max="41" width="11.625" style="2" customWidth="1"/>
    <col min="42" max="42" width="0.6171875" style="2" customWidth="1"/>
    <col min="43" max="50" width="11.625" style="2" customWidth="1"/>
    <col min="51" max="51" width="0.6171875" style="2" customWidth="1"/>
    <col min="52" max="59" width="11.625" style="2" customWidth="1"/>
    <col min="60" max="60" width="0.6171875" style="2" customWidth="1"/>
    <col min="61" max="68" width="11.625" style="2" customWidth="1"/>
    <col min="69" max="69" width="0.6171875" style="2" customWidth="1"/>
    <col min="70" max="16384" width="11.625" style="2" customWidth="1"/>
  </cols>
  <sheetData>
    <row r="1" ht="12">
      <c r="A1" s="1" t="s">
        <v>0</v>
      </c>
    </row>
    <row r="2" ht="12">
      <c r="A2" s="1" t="s">
        <v>124</v>
      </c>
    </row>
    <row r="3" spans="1:23" ht="12">
      <c r="A3" s="3" t="s">
        <v>146</v>
      </c>
      <c r="W3" s="30"/>
    </row>
    <row r="4" ht="12">
      <c r="A4" s="37" t="s">
        <v>136</v>
      </c>
    </row>
    <row r="5" ht="12.75" thickBot="1">
      <c r="A5" s="1" t="s">
        <v>122</v>
      </c>
    </row>
    <row r="6" spans="1:85" ht="12.75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</row>
    <row r="7" spans="2:85" ht="12">
      <c r="B7" s="5">
        <v>2007</v>
      </c>
      <c r="F7" s="5"/>
      <c r="G7" s="5">
        <v>2008</v>
      </c>
      <c r="N7" s="5">
        <v>2008</v>
      </c>
      <c r="O7" s="5"/>
      <c r="P7" s="5">
        <v>2009</v>
      </c>
      <c r="W7" s="5">
        <v>2009</v>
      </c>
      <c r="X7" s="5"/>
      <c r="Y7" s="5">
        <v>2010</v>
      </c>
      <c r="AF7" s="5">
        <v>2010</v>
      </c>
      <c r="AG7" s="5"/>
      <c r="AH7" s="5">
        <v>2011</v>
      </c>
      <c r="AO7" s="5">
        <v>2011</v>
      </c>
      <c r="AP7" s="5"/>
      <c r="AQ7" s="5">
        <v>2012</v>
      </c>
      <c r="AX7" s="5">
        <v>2012</v>
      </c>
      <c r="AY7" s="5"/>
      <c r="AZ7" s="5">
        <v>2013</v>
      </c>
      <c r="BG7" s="5">
        <v>2013</v>
      </c>
      <c r="BH7" s="5"/>
      <c r="BI7" s="5">
        <v>2014</v>
      </c>
      <c r="BP7" s="5">
        <v>2014</v>
      </c>
      <c r="BQ7" s="5"/>
      <c r="BR7" s="5">
        <v>2015</v>
      </c>
      <c r="BY7" s="5">
        <v>2015</v>
      </c>
      <c r="BZ7" s="5">
        <v>2016</v>
      </c>
      <c r="CG7" s="5">
        <v>2016</v>
      </c>
    </row>
    <row r="8" spans="2:85" ht="12">
      <c r="B8" s="12"/>
      <c r="C8" s="12"/>
      <c r="D8" s="12"/>
      <c r="E8" s="12"/>
      <c r="F8" s="14"/>
      <c r="G8" s="12"/>
      <c r="H8" s="12"/>
      <c r="I8" s="12"/>
      <c r="J8" s="12"/>
      <c r="K8" s="12"/>
      <c r="L8" s="12"/>
      <c r="M8" s="12"/>
      <c r="N8" s="13"/>
      <c r="O8" s="14"/>
      <c r="P8" s="12"/>
      <c r="Q8" s="12"/>
      <c r="R8" s="12"/>
      <c r="S8" s="12"/>
      <c r="T8" s="12"/>
      <c r="U8" s="12"/>
      <c r="V8" s="12"/>
      <c r="W8" s="13"/>
      <c r="X8" s="13"/>
      <c r="Y8" s="12"/>
      <c r="Z8" s="12"/>
      <c r="AA8" s="12"/>
      <c r="AB8" s="12"/>
      <c r="AC8" s="12"/>
      <c r="AD8" s="12"/>
      <c r="AE8" s="12"/>
      <c r="AF8" s="13"/>
      <c r="AG8" s="14"/>
      <c r="AH8" s="12"/>
      <c r="AI8" s="12"/>
      <c r="AJ8" s="12"/>
      <c r="AK8" s="12"/>
      <c r="AL8" s="12"/>
      <c r="AM8" s="12"/>
      <c r="AN8" s="12"/>
      <c r="AO8" s="13"/>
      <c r="AP8" s="14"/>
      <c r="AQ8" s="12"/>
      <c r="AR8" s="12"/>
      <c r="AS8" s="12"/>
      <c r="AT8" s="12"/>
      <c r="AU8" s="12"/>
      <c r="AV8" s="12"/>
      <c r="AW8" s="12"/>
      <c r="AX8" s="13"/>
      <c r="AY8" s="14"/>
      <c r="AZ8" s="12"/>
      <c r="BA8" s="12"/>
      <c r="BB8" s="12"/>
      <c r="BC8" s="12"/>
      <c r="BD8" s="12"/>
      <c r="BE8" s="12"/>
      <c r="BF8" s="12"/>
      <c r="BG8" s="13"/>
      <c r="BH8" s="14"/>
      <c r="BI8" s="12"/>
      <c r="BJ8" s="12"/>
      <c r="BK8" s="12"/>
      <c r="BL8" s="12"/>
      <c r="BM8" s="12"/>
      <c r="BN8" s="12"/>
      <c r="BO8" s="12"/>
      <c r="BP8" s="13"/>
      <c r="BQ8" s="14"/>
      <c r="BR8" s="12"/>
      <c r="BS8" s="12"/>
      <c r="BT8" s="12"/>
      <c r="BU8" s="12"/>
      <c r="BV8" s="12"/>
      <c r="BW8" s="12"/>
      <c r="BX8" s="12"/>
      <c r="BY8" s="13"/>
      <c r="BZ8" s="12"/>
      <c r="CA8" s="12"/>
      <c r="CB8" s="12"/>
      <c r="CC8" s="12"/>
      <c r="CD8" s="12"/>
      <c r="CE8" s="12"/>
      <c r="CF8" s="12"/>
      <c r="CG8" s="13"/>
    </row>
    <row r="9" spans="2:85" ht="12">
      <c r="B9" s="6" t="s">
        <v>3</v>
      </c>
      <c r="C9" s="6" t="s">
        <v>4</v>
      </c>
      <c r="D9" s="6" t="s">
        <v>134</v>
      </c>
      <c r="E9" s="6" t="s">
        <v>5</v>
      </c>
      <c r="F9" s="6"/>
      <c r="G9" s="6" t="s">
        <v>3</v>
      </c>
      <c r="H9" s="6" t="s">
        <v>4</v>
      </c>
      <c r="I9" s="6" t="s">
        <v>134</v>
      </c>
      <c r="J9" s="6" t="s">
        <v>5</v>
      </c>
      <c r="K9" s="6" t="s">
        <v>6</v>
      </c>
      <c r="L9" s="6" t="s">
        <v>6</v>
      </c>
      <c r="M9" s="6" t="s">
        <v>134</v>
      </c>
      <c r="N9" s="6" t="s">
        <v>6</v>
      </c>
      <c r="O9" s="15"/>
      <c r="P9" s="6" t="s">
        <v>3</v>
      </c>
      <c r="Q9" s="6" t="s">
        <v>4</v>
      </c>
      <c r="R9" s="6" t="s">
        <v>134</v>
      </c>
      <c r="S9" s="6" t="s">
        <v>5</v>
      </c>
      <c r="T9" s="6" t="s">
        <v>6</v>
      </c>
      <c r="U9" s="6" t="s">
        <v>6</v>
      </c>
      <c r="V9" s="6" t="s">
        <v>6</v>
      </c>
      <c r="W9" s="6" t="s">
        <v>6</v>
      </c>
      <c r="X9" s="6"/>
      <c r="Y9" s="6" t="s">
        <v>3</v>
      </c>
      <c r="Z9" s="6" t="s">
        <v>4</v>
      </c>
      <c r="AA9" s="6" t="s">
        <v>134</v>
      </c>
      <c r="AB9" s="6" t="s">
        <v>5</v>
      </c>
      <c r="AC9" s="6" t="s">
        <v>6</v>
      </c>
      <c r="AD9" s="6" t="s">
        <v>6</v>
      </c>
      <c r="AE9" s="6" t="s">
        <v>6</v>
      </c>
      <c r="AF9" s="6" t="s">
        <v>6</v>
      </c>
      <c r="AG9" s="15"/>
      <c r="AH9" s="6" t="s">
        <v>3</v>
      </c>
      <c r="AI9" s="6" t="s">
        <v>4</v>
      </c>
      <c r="AJ9" s="6" t="s">
        <v>134</v>
      </c>
      <c r="AK9" s="6" t="s">
        <v>5</v>
      </c>
      <c r="AL9" s="6" t="s">
        <v>6</v>
      </c>
      <c r="AM9" s="6" t="s">
        <v>6</v>
      </c>
      <c r="AN9" s="6" t="s">
        <v>6</v>
      </c>
      <c r="AO9" s="6" t="s">
        <v>6</v>
      </c>
      <c r="AP9" s="15"/>
      <c r="AQ9" s="6" t="s">
        <v>3</v>
      </c>
      <c r="AR9" s="6" t="s">
        <v>4</v>
      </c>
      <c r="AS9" s="6" t="s">
        <v>134</v>
      </c>
      <c r="AT9" s="6" t="s">
        <v>5</v>
      </c>
      <c r="AU9" s="6" t="s">
        <v>6</v>
      </c>
      <c r="AV9" s="6" t="s">
        <v>6</v>
      </c>
      <c r="AW9" s="6" t="s">
        <v>6</v>
      </c>
      <c r="AX9" s="6" t="s">
        <v>6</v>
      </c>
      <c r="AY9" s="15"/>
      <c r="AZ9" s="6" t="s">
        <v>3</v>
      </c>
      <c r="BA9" s="6" t="s">
        <v>4</v>
      </c>
      <c r="BB9" s="6" t="s">
        <v>134</v>
      </c>
      <c r="BC9" s="6" t="s">
        <v>5</v>
      </c>
      <c r="BD9" s="6" t="s">
        <v>6</v>
      </c>
      <c r="BE9" s="6" t="s">
        <v>6</v>
      </c>
      <c r="BF9" s="6" t="s">
        <v>6</v>
      </c>
      <c r="BG9" s="6" t="s">
        <v>6</v>
      </c>
      <c r="BH9" s="15"/>
      <c r="BI9" s="6" t="s">
        <v>3</v>
      </c>
      <c r="BJ9" s="6" t="s">
        <v>4</v>
      </c>
      <c r="BK9" s="6" t="s">
        <v>134</v>
      </c>
      <c r="BL9" s="6" t="s">
        <v>5</v>
      </c>
      <c r="BM9" s="6" t="s">
        <v>6</v>
      </c>
      <c r="BN9" s="6" t="s">
        <v>6</v>
      </c>
      <c r="BO9" s="6" t="s">
        <v>6</v>
      </c>
      <c r="BP9" s="6" t="s">
        <v>6</v>
      </c>
      <c r="BQ9" s="15"/>
      <c r="BR9" s="6" t="s">
        <v>3</v>
      </c>
      <c r="BS9" s="6" t="s">
        <v>4</v>
      </c>
      <c r="BT9" s="6" t="s">
        <v>134</v>
      </c>
      <c r="BU9" s="6" t="s">
        <v>5</v>
      </c>
      <c r="BV9" s="6" t="s">
        <v>6</v>
      </c>
      <c r="BW9" s="6" t="s">
        <v>6</v>
      </c>
      <c r="BX9" s="6" t="s">
        <v>6</v>
      </c>
      <c r="BY9" s="6" t="s">
        <v>6</v>
      </c>
      <c r="BZ9" s="6" t="s">
        <v>3</v>
      </c>
      <c r="CA9" s="6" t="s">
        <v>4</v>
      </c>
      <c r="CB9" s="6" t="s">
        <v>134</v>
      </c>
      <c r="CC9" s="6" t="s">
        <v>5</v>
      </c>
      <c r="CD9" s="6" t="s">
        <v>6</v>
      </c>
      <c r="CE9" s="6" t="s">
        <v>6</v>
      </c>
      <c r="CF9" s="6" t="s">
        <v>6</v>
      </c>
      <c r="CG9" s="6" t="s">
        <v>6</v>
      </c>
    </row>
    <row r="10" spans="1:85" ht="12">
      <c r="A10" s="6" t="s">
        <v>7</v>
      </c>
      <c r="B10" s="6" t="s">
        <v>8</v>
      </c>
      <c r="F10" s="6"/>
      <c r="G10" s="6" t="s">
        <v>8</v>
      </c>
      <c r="K10" s="6" t="s">
        <v>9</v>
      </c>
      <c r="L10" s="6" t="s">
        <v>10</v>
      </c>
      <c r="M10" s="6"/>
      <c r="N10" s="6" t="s">
        <v>11</v>
      </c>
      <c r="O10" s="6"/>
      <c r="P10" s="6" t="s">
        <v>8</v>
      </c>
      <c r="T10" s="6" t="s">
        <v>9</v>
      </c>
      <c r="U10" s="6" t="s">
        <v>10</v>
      </c>
      <c r="V10" s="6" t="s">
        <v>135</v>
      </c>
      <c r="W10" s="6" t="s">
        <v>11</v>
      </c>
      <c r="X10" s="6"/>
      <c r="Y10" s="6" t="s">
        <v>8</v>
      </c>
      <c r="AC10" s="6" t="s">
        <v>9</v>
      </c>
      <c r="AD10" s="6" t="s">
        <v>10</v>
      </c>
      <c r="AE10" s="6" t="s">
        <v>135</v>
      </c>
      <c r="AF10" s="6" t="s">
        <v>11</v>
      </c>
      <c r="AG10" s="15"/>
      <c r="AH10" s="6" t="s">
        <v>8</v>
      </c>
      <c r="AL10" s="6" t="s">
        <v>9</v>
      </c>
      <c r="AM10" s="6" t="s">
        <v>10</v>
      </c>
      <c r="AN10" s="6" t="s">
        <v>135</v>
      </c>
      <c r="AO10" s="6" t="s">
        <v>11</v>
      </c>
      <c r="AP10" s="6"/>
      <c r="AQ10" s="6" t="s">
        <v>8</v>
      </c>
      <c r="AU10" s="6" t="s">
        <v>9</v>
      </c>
      <c r="AV10" s="6" t="s">
        <v>10</v>
      </c>
      <c r="AW10" s="6" t="s">
        <v>135</v>
      </c>
      <c r="AX10" s="6" t="s">
        <v>11</v>
      </c>
      <c r="AY10" s="6"/>
      <c r="AZ10" s="6" t="s">
        <v>8</v>
      </c>
      <c r="BD10" s="6" t="s">
        <v>9</v>
      </c>
      <c r="BE10" s="6" t="s">
        <v>10</v>
      </c>
      <c r="BF10" s="6" t="s">
        <v>135</v>
      </c>
      <c r="BG10" s="6" t="s">
        <v>11</v>
      </c>
      <c r="BH10" s="6"/>
      <c r="BI10" s="6" t="s">
        <v>8</v>
      </c>
      <c r="BM10" s="6" t="s">
        <v>9</v>
      </c>
      <c r="BN10" s="6" t="s">
        <v>10</v>
      </c>
      <c r="BO10" s="6" t="s">
        <v>135</v>
      </c>
      <c r="BP10" s="6" t="s">
        <v>11</v>
      </c>
      <c r="BQ10" s="6"/>
      <c r="BR10" s="6" t="s">
        <v>8</v>
      </c>
      <c r="BV10" s="6" t="s">
        <v>9</v>
      </c>
      <c r="BW10" s="6" t="s">
        <v>10</v>
      </c>
      <c r="BX10" s="6" t="s">
        <v>135</v>
      </c>
      <c r="BY10" s="6" t="s">
        <v>11</v>
      </c>
      <c r="BZ10" s="6" t="s">
        <v>8</v>
      </c>
      <c r="CD10" s="6" t="s">
        <v>9</v>
      </c>
      <c r="CE10" s="6" t="s">
        <v>10</v>
      </c>
      <c r="CF10" s="6" t="s">
        <v>135</v>
      </c>
      <c r="CG10" s="6" t="s">
        <v>11</v>
      </c>
    </row>
    <row r="11" spans="1:85" ht="12.75" thickBo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</row>
    <row r="12" spans="1:85" ht="12">
      <c r="A12" s="1" t="s">
        <v>12</v>
      </c>
      <c r="B12" s="20">
        <v>661206</v>
      </c>
      <c r="C12" s="10">
        <f>D12/B12</f>
        <v>49.25186099339692</v>
      </c>
      <c r="D12" s="11">
        <v>32565626</v>
      </c>
      <c r="E12" s="11">
        <v>32475232</v>
      </c>
      <c r="F12" s="8"/>
      <c r="G12" s="20">
        <v>702226</v>
      </c>
      <c r="H12" s="10">
        <f>I12/G12</f>
        <v>53.51923739650768</v>
      </c>
      <c r="I12" s="11">
        <v>37582600</v>
      </c>
      <c r="J12" s="11">
        <v>37461716</v>
      </c>
      <c r="K12" s="23">
        <f aca="true" t="shared" si="0" ref="K12:N17">G12*100/B12-100</f>
        <v>6.203815452370364</v>
      </c>
      <c r="L12" s="23">
        <f t="shared" si="0"/>
        <v>8.664396262473971</v>
      </c>
      <c r="M12" s="23">
        <f t="shared" si="0"/>
        <v>15.405734869030312</v>
      </c>
      <c r="N12" s="23">
        <f t="shared" si="0"/>
        <v>15.354729413480399</v>
      </c>
      <c r="O12" s="23"/>
      <c r="P12" s="20">
        <v>568273</v>
      </c>
      <c r="Q12" s="10">
        <f>R12/P12</f>
        <v>51.79801785409477</v>
      </c>
      <c r="R12" s="11">
        <v>29435415</v>
      </c>
      <c r="S12" s="11">
        <v>29291218</v>
      </c>
      <c r="T12" s="23">
        <f>P12*100/G12-100</f>
        <v>-19.075482821769626</v>
      </c>
      <c r="U12" s="23">
        <f>Q12*100/H12-100</f>
        <v>-3.216076360843701</v>
      </c>
      <c r="V12" s="23">
        <f>R12*100/I12-100</f>
        <v>-21.678077088865592</v>
      </c>
      <c r="W12" s="23">
        <f>S12*100/J12-100</f>
        <v>-21.8102609074288</v>
      </c>
      <c r="X12" s="23"/>
      <c r="Y12" s="20">
        <v>548867</v>
      </c>
      <c r="Z12" s="10">
        <f aca="true" t="shared" si="1" ref="Z12:Z17">AA12/Y12</f>
        <v>53.50635946413248</v>
      </c>
      <c r="AA12" s="20">
        <v>29367875</v>
      </c>
      <c r="AB12" s="20">
        <v>29281170</v>
      </c>
      <c r="AC12" s="23">
        <f>Y12*100/P12-100</f>
        <v>-3.4149079755680845</v>
      </c>
      <c r="AD12" s="23">
        <f>Z12*100/Q12-100</f>
        <v>3.2980829784834356</v>
      </c>
      <c r="AE12" s="23">
        <f>AA12*100/R12-100</f>
        <v>-0.22945149575774337</v>
      </c>
      <c r="AF12" s="23">
        <f>AB12*100/S12-100</f>
        <v>-0.03430379713127252</v>
      </c>
      <c r="AG12" s="23"/>
      <c r="AH12" s="20">
        <v>533606</v>
      </c>
      <c r="AI12" s="10">
        <f aca="true" t="shared" si="2" ref="AI12:AI17">AJ12/AH12</f>
        <v>53.51854926668741</v>
      </c>
      <c r="AJ12" s="20">
        <v>28557819</v>
      </c>
      <c r="AK12" s="20">
        <v>28451677</v>
      </c>
      <c r="AL12" s="23">
        <f>AH12*100/Y12-100</f>
        <v>-2.780455010047973</v>
      </c>
      <c r="AM12" s="23">
        <f>AI12*100/Z12-100</f>
        <v>0.022781969614470654</v>
      </c>
      <c r="AN12" s="23">
        <f>AJ12*100/AA12-100</f>
        <v>-2.7583064828490365</v>
      </c>
      <c r="AO12" s="23">
        <f>AK12*100/AB12-100</f>
        <v>-2.8328546980875444</v>
      </c>
      <c r="AP12" s="23"/>
      <c r="AQ12" s="20">
        <v>593494</v>
      </c>
      <c r="AR12" s="10">
        <f aca="true" t="shared" si="3" ref="AR12:AR17">AS12/AQ12</f>
        <v>59.125820985553354</v>
      </c>
      <c r="AS12" s="20">
        <v>35090820</v>
      </c>
      <c r="AT12" s="20">
        <v>34941789</v>
      </c>
      <c r="AU12" s="23">
        <f aca="true" t="shared" si="4" ref="AU12:AX17">AQ12*100/AH12-100</f>
        <v>11.223262107247663</v>
      </c>
      <c r="AV12" s="23">
        <f t="shared" si="4"/>
        <v>10.477249095307954</v>
      </c>
      <c r="AW12" s="23">
        <f t="shared" si="4"/>
        <v>22.876400330151256</v>
      </c>
      <c r="AX12" s="23">
        <f t="shared" si="4"/>
        <v>22.81099985775883</v>
      </c>
      <c r="AY12" s="23"/>
      <c r="AZ12" s="20">
        <v>631667</v>
      </c>
      <c r="BA12" s="10">
        <f aca="true" t="shared" si="5" ref="BA12:BA17">BB12/AZ12</f>
        <v>53.32757608043479</v>
      </c>
      <c r="BB12" s="20">
        <v>33685270</v>
      </c>
      <c r="BC12" s="20">
        <v>33417814</v>
      </c>
      <c r="BD12" s="23">
        <f aca="true" t="shared" si="6" ref="BD12:BG17">AZ12*100/AQ12-100</f>
        <v>6.4319100108846925</v>
      </c>
      <c r="BE12" s="23">
        <f t="shared" si="6"/>
        <v>-9.806620539840438</v>
      </c>
      <c r="BF12" s="23">
        <f t="shared" si="6"/>
        <v>-4.005463537187225</v>
      </c>
      <c r="BG12" s="23">
        <f t="shared" si="6"/>
        <v>-4.361468154936205</v>
      </c>
      <c r="BH12" s="23"/>
      <c r="BI12" s="20">
        <v>586615</v>
      </c>
      <c r="BJ12" s="10">
        <f aca="true" t="shared" si="7" ref="BJ12:BJ17">BK12/BI12</f>
        <v>53.23792436265694</v>
      </c>
      <c r="BK12" s="20">
        <v>31230165</v>
      </c>
      <c r="BL12" s="20">
        <v>31058640</v>
      </c>
      <c r="BM12" s="23">
        <f>BI12*100/AZ12-100</f>
        <v>-7.132238980348816</v>
      </c>
      <c r="BN12" s="23">
        <f aca="true" t="shared" si="8" ref="BN12:BN17">BJ12*100/BA12-100</f>
        <v>-0.16811511860697692</v>
      </c>
      <c r="BO12" s="23">
        <f aca="true" t="shared" si="9" ref="BO12:BO17">BK12*100/BB12-100</f>
        <v>-7.288363726934648</v>
      </c>
      <c r="BP12" s="23">
        <f aca="true" t="shared" si="10" ref="BP12:BP17">BL12*100/BC12-100</f>
        <v>-7.0596299327059455</v>
      </c>
      <c r="BQ12" s="23"/>
      <c r="BR12" s="20">
        <v>553642</v>
      </c>
      <c r="BS12" s="10">
        <f aca="true" t="shared" si="11" ref="BS12:BS17">BT12/BR12</f>
        <v>54.30129939563834</v>
      </c>
      <c r="BT12" s="20">
        <v>30063480</v>
      </c>
      <c r="BU12" s="20">
        <v>29961680</v>
      </c>
      <c r="BV12" s="23">
        <f aca="true" t="shared" si="12" ref="BV12:BV17">BR12*100/BI12-100</f>
        <v>-5.620892749077328</v>
      </c>
      <c r="BW12" s="23">
        <f aca="true" t="shared" si="13" ref="BW12:BW17">BS12*100/BJ12-100</f>
        <v>1.9974013745120516</v>
      </c>
      <c r="BX12" s="23">
        <f aca="true" t="shared" si="14" ref="BX12:BX17">BT12*100/BK12-100</f>
        <v>-3.7357631635951947</v>
      </c>
      <c r="BY12" s="23">
        <f aca="true" t="shared" si="15" ref="BY12:BY17">BU12*100/BL12-100</f>
        <v>-3.531899658194945</v>
      </c>
      <c r="BZ12" s="20">
        <v>528743</v>
      </c>
      <c r="CA12" s="10">
        <f aca="true" t="shared" si="16" ref="CA12:CA17">CB12/BZ12</f>
        <v>56.86459584334923</v>
      </c>
      <c r="CB12" s="20">
        <v>30066757</v>
      </c>
      <c r="CC12" s="20">
        <v>29885501</v>
      </c>
      <c r="CD12" s="23">
        <f aca="true" t="shared" si="17" ref="CD12:CG17">BZ12*100/BR12-100</f>
        <v>-4.497310536411618</v>
      </c>
      <c r="CE12" s="23">
        <f t="shared" si="17"/>
        <v>4.720506647612154</v>
      </c>
      <c r="CF12" s="23">
        <f t="shared" si="17"/>
        <v>0.010900268365475085</v>
      </c>
      <c r="CG12" s="23">
        <f t="shared" si="17"/>
        <v>-0.25425476809044767</v>
      </c>
    </row>
    <row r="13" spans="1:85" ht="12">
      <c r="A13" s="1" t="s">
        <v>13</v>
      </c>
      <c r="B13" s="20">
        <v>1439231</v>
      </c>
      <c r="C13" s="10">
        <f aca="true" t="shared" si="18" ref="C13:C78">D13/B13</f>
        <v>27.898645179265873</v>
      </c>
      <c r="D13" s="11">
        <v>40152595</v>
      </c>
      <c r="E13" s="11">
        <v>39226577</v>
      </c>
      <c r="F13" s="8"/>
      <c r="G13" s="20">
        <v>1586825</v>
      </c>
      <c r="H13" s="10">
        <f aca="true" t="shared" si="19" ref="H13:H78">I13/G13</f>
        <v>32.727804263230034</v>
      </c>
      <c r="I13" s="11">
        <v>51933298</v>
      </c>
      <c r="J13" s="11">
        <v>51132387</v>
      </c>
      <c r="K13" s="23">
        <f t="shared" si="0"/>
        <v>10.255059820140062</v>
      </c>
      <c r="L13" s="23">
        <f t="shared" si="0"/>
        <v>17.30965447581363</v>
      </c>
      <c r="M13" s="23">
        <f t="shared" si="0"/>
        <v>29.33982971710796</v>
      </c>
      <c r="N13" s="23">
        <f t="shared" si="0"/>
        <v>30.351386510222397</v>
      </c>
      <c r="O13" s="23"/>
      <c r="P13" s="20">
        <v>1254082</v>
      </c>
      <c r="Q13" s="10">
        <f aca="true" t="shared" si="20" ref="Q13:Q78">R13/P13</f>
        <v>29.572872427799776</v>
      </c>
      <c r="R13" s="11">
        <v>37086807</v>
      </c>
      <c r="S13" s="11">
        <v>36056257</v>
      </c>
      <c r="T13" s="23">
        <f aca="true" t="shared" si="21" ref="T13:W78">P13*100/G13-100</f>
        <v>-20.969104973768367</v>
      </c>
      <c r="U13" s="23">
        <f t="shared" si="21"/>
        <v>-9.639912931692919</v>
      </c>
      <c r="V13" s="23">
        <f t="shared" si="21"/>
        <v>-28.58761444343473</v>
      </c>
      <c r="W13" s="23">
        <f t="shared" si="21"/>
        <v>-29.48450264995452</v>
      </c>
      <c r="X13" s="23"/>
      <c r="Y13" s="20">
        <v>1281608</v>
      </c>
      <c r="Z13" s="10">
        <f t="shared" si="1"/>
        <v>31.302301483761024</v>
      </c>
      <c r="AA13" s="20">
        <v>40117280</v>
      </c>
      <c r="AB13" s="20">
        <v>39217411</v>
      </c>
      <c r="AC13" s="23">
        <f aca="true" t="shared" si="22" ref="AC13:AF77">Y13*100/P13-100</f>
        <v>2.194912294411367</v>
      </c>
      <c r="AD13" s="23">
        <f t="shared" si="22"/>
        <v>5.848025281221965</v>
      </c>
      <c r="AE13" s="23">
        <f t="shared" si="22"/>
        <v>8.171296601511159</v>
      </c>
      <c r="AF13" s="23">
        <f t="shared" si="22"/>
        <v>8.767282749288142</v>
      </c>
      <c r="AG13" s="23"/>
      <c r="AH13" s="20">
        <v>1198974</v>
      </c>
      <c r="AI13" s="10">
        <f t="shared" si="2"/>
        <v>32.18152186786369</v>
      </c>
      <c r="AJ13" s="20">
        <v>38584808</v>
      </c>
      <c r="AK13" s="20">
        <v>37966389</v>
      </c>
      <c r="AL13" s="23">
        <f aca="true" t="shared" si="23" ref="AL13:AO20">AH13*100/Y13-100</f>
        <v>-6.447681350303682</v>
      </c>
      <c r="AM13" s="23">
        <f t="shared" si="23"/>
        <v>2.8088042809209526</v>
      </c>
      <c r="AN13" s="23">
        <f t="shared" si="23"/>
        <v>-3.819979819170186</v>
      </c>
      <c r="AO13" s="23">
        <f t="shared" si="23"/>
        <v>-3.189965803708972</v>
      </c>
      <c r="AP13" s="23"/>
      <c r="AQ13" s="20">
        <v>1260143</v>
      </c>
      <c r="AR13" s="10">
        <f t="shared" si="3"/>
        <v>33.671385707812526</v>
      </c>
      <c r="AS13" s="20">
        <v>42430761</v>
      </c>
      <c r="AT13" s="20">
        <v>41600694</v>
      </c>
      <c r="AU13" s="23">
        <f t="shared" si="4"/>
        <v>5.101778687444437</v>
      </c>
      <c r="AV13" s="23">
        <f t="shared" si="4"/>
        <v>4.629563033302688</v>
      </c>
      <c r="AW13" s="23">
        <f t="shared" si="4"/>
        <v>9.96753178090195</v>
      </c>
      <c r="AX13" s="23">
        <f t="shared" si="4"/>
        <v>9.572427338296507</v>
      </c>
      <c r="AY13" s="23"/>
      <c r="AZ13" s="20">
        <v>1270490</v>
      </c>
      <c r="BA13" s="10">
        <f t="shared" si="5"/>
        <v>31.920729797164874</v>
      </c>
      <c r="BB13" s="20">
        <v>40554968</v>
      </c>
      <c r="BC13" s="20">
        <v>39702433</v>
      </c>
      <c r="BD13" s="23">
        <f t="shared" si="6"/>
        <v>0.8210972881649212</v>
      </c>
      <c r="BE13" s="23">
        <f t="shared" si="6"/>
        <v>-5.199239276456211</v>
      </c>
      <c r="BF13" s="23">
        <f t="shared" si="6"/>
        <v>-4.420832800995484</v>
      </c>
      <c r="BG13" s="23">
        <f t="shared" si="6"/>
        <v>-4.563051279865661</v>
      </c>
      <c r="BH13" s="23"/>
      <c r="BI13" s="20">
        <v>1287564</v>
      </c>
      <c r="BJ13" s="10">
        <f t="shared" si="7"/>
        <v>32.005891745963694</v>
      </c>
      <c r="BK13" s="20">
        <v>41209634</v>
      </c>
      <c r="BL13" s="20">
        <v>40360624</v>
      </c>
      <c r="BM13" s="23">
        <f>BI13*100/AZ13-100</f>
        <v>1.3438909397161751</v>
      </c>
      <c r="BN13" s="23">
        <f t="shared" si="8"/>
        <v>0.2667919854588803</v>
      </c>
      <c r="BO13" s="23">
        <f t="shared" si="9"/>
        <v>1.614268318495533</v>
      </c>
      <c r="BP13" s="23">
        <f t="shared" si="10"/>
        <v>1.6578102404958344</v>
      </c>
      <c r="BQ13" s="23"/>
      <c r="BR13" s="20">
        <v>1328874</v>
      </c>
      <c r="BS13" s="10">
        <f t="shared" si="11"/>
        <v>33.72114812992052</v>
      </c>
      <c r="BT13" s="20">
        <v>44811157</v>
      </c>
      <c r="BU13" s="20">
        <v>43983267</v>
      </c>
      <c r="BV13" s="23">
        <f t="shared" si="12"/>
        <v>3.208384204590999</v>
      </c>
      <c r="BW13" s="23">
        <f t="shared" si="13"/>
        <v>5.359189481646425</v>
      </c>
      <c r="BX13" s="23">
        <f t="shared" si="14"/>
        <v>8.739517075060647</v>
      </c>
      <c r="BY13" s="23">
        <f t="shared" si="15"/>
        <v>8.975686302570551</v>
      </c>
      <c r="BZ13" s="20">
        <v>1383675</v>
      </c>
      <c r="CA13" s="10">
        <f t="shared" si="16"/>
        <v>37.069434657705024</v>
      </c>
      <c r="CB13" s="20">
        <v>51292050</v>
      </c>
      <c r="CC13" s="20">
        <v>50493220</v>
      </c>
      <c r="CD13" s="23">
        <f t="shared" si="17"/>
        <v>4.123867274098217</v>
      </c>
      <c r="CE13" s="23">
        <f t="shared" si="17"/>
        <v>9.929337265991819</v>
      </c>
      <c r="CF13" s="23">
        <f t="shared" si="17"/>
        <v>14.462677230137132</v>
      </c>
      <c r="CG13" s="23">
        <f t="shared" si="17"/>
        <v>14.80097647134761</v>
      </c>
    </row>
    <row r="14" spans="1:85" ht="12">
      <c r="A14" s="1" t="s">
        <v>14</v>
      </c>
      <c r="B14" s="20">
        <v>3038</v>
      </c>
      <c r="C14" s="10">
        <f t="shared" si="18"/>
        <v>29.715931533903884</v>
      </c>
      <c r="D14" s="11">
        <v>90277</v>
      </c>
      <c r="E14" s="11">
        <v>89538</v>
      </c>
      <c r="F14" s="8"/>
      <c r="G14" s="20">
        <v>4722</v>
      </c>
      <c r="H14" s="10">
        <f t="shared" si="19"/>
        <v>22.870182126217703</v>
      </c>
      <c r="I14" s="11">
        <v>107993</v>
      </c>
      <c r="J14" s="11">
        <v>107563</v>
      </c>
      <c r="K14" s="23">
        <f t="shared" si="0"/>
        <v>55.43120473996049</v>
      </c>
      <c r="L14" s="23">
        <f t="shared" si="0"/>
        <v>-23.03730374353448</v>
      </c>
      <c r="M14" s="23">
        <f t="shared" si="0"/>
        <v>19.624045991780847</v>
      </c>
      <c r="N14" s="23">
        <f t="shared" si="0"/>
        <v>20.131117514351445</v>
      </c>
      <c r="O14" s="23"/>
      <c r="P14" s="20">
        <v>4033</v>
      </c>
      <c r="Q14" s="10">
        <f t="shared" si="20"/>
        <v>30.527894867344408</v>
      </c>
      <c r="R14" s="11">
        <v>123119</v>
      </c>
      <c r="S14" s="11">
        <v>122037</v>
      </c>
      <c r="T14" s="23">
        <f t="shared" si="21"/>
        <v>-14.591274883523937</v>
      </c>
      <c r="U14" s="23">
        <f t="shared" si="21"/>
        <v>33.483392038002734</v>
      </c>
      <c r="V14" s="23">
        <f t="shared" si="21"/>
        <v>14.006463381885865</v>
      </c>
      <c r="W14" s="23">
        <f t="shared" si="21"/>
        <v>13.456300028820323</v>
      </c>
      <c r="X14" s="23"/>
      <c r="Y14" s="20">
        <v>4513</v>
      </c>
      <c r="Z14" s="10">
        <f t="shared" si="1"/>
        <v>30.96521161090184</v>
      </c>
      <c r="AA14" s="20">
        <v>139746</v>
      </c>
      <c r="AB14" s="20">
        <v>139262</v>
      </c>
      <c r="AC14" s="23">
        <f t="shared" si="22"/>
        <v>11.901810066947675</v>
      </c>
      <c r="AD14" s="23">
        <f t="shared" si="22"/>
        <v>1.4325152306038262</v>
      </c>
      <c r="AE14" s="23">
        <f t="shared" si="22"/>
        <v>13.504820539478061</v>
      </c>
      <c r="AF14" s="23">
        <f t="shared" si="22"/>
        <v>14.114571810188707</v>
      </c>
      <c r="AG14" s="23"/>
      <c r="AH14" s="20">
        <v>4850</v>
      </c>
      <c r="AI14" s="10">
        <f t="shared" si="2"/>
        <v>29.730721649484536</v>
      </c>
      <c r="AJ14" s="20">
        <v>144194</v>
      </c>
      <c r="AK14" s="20">
        <v>143813</v>
      </c>
      <c r="AL14" s="23">
        <f t="shared" si="23"/>
        <v>7.467316640815426</v>
      </c>
      <c r="AM14" s="23">
        <f t="shared" si="23"/>
        <v>-3.9866995805792556</v>
      </c>
      <c r="AN14" s="23">
        <f t="shared" si="23"/>
        <v>3.182917579036257</v>
      </c>
      <c r="AO14" s="23">
        <f t="shared" si="23"/>
        <v>3.267941003288769</v>
      </c>
      <c r="AP14" s="23"/>
      <c r="AQ14" s="20">
        <v>4988</v>
      </c>
      <c r="AR14" s="10">
        <f t="shared" si="3"/>
        <v>32.51102646351243</v>
      </c>
      <c r="AS14" s="20">
        <v>162165</v>
      </c>
      <c r="AT14" s="20">
        <v>160832</v>
      </c>
      <c r="AU14" s="23">
        <f t="shared" si="4"/>
        <v>2.845360824742272</v>
      </c>
      <c r="AV14" s="23">
        <f t="shared" si="4"/>
        <v>9.351622361565177</v>
      </c>
      <c r="AW14" s="23">
        <f t="shared" si="4"/>
        <v>12.463070585461253</v>
      </c>
      <c r="AX14" s="23">
        <f t="shared" si="4"/>
        <v>11.834117917017238</v>
      </c>
      <c r="AY14" s="23"/>
      <c r="AZ14" s="20">
        <v>4825</v>
      </c>
      <c r="BA14" s="10">
        <f t="shared" si="5"/>
        <v>29.86943005181347</v>
      </c>
      <c r="BB14" s="20">
        <v>144120</v>
      </c>
      <c r="BC14" s="20">
        <v>143060</v>
      </c>
      <c r="BD14" s="23">
        <f t="shared" si="6"/>
        <v>-3.2678428227746537</v>
      </c>
      <c r="BE14" s="23">
        <f t="shared" si="6"/>
        <v>-8.12523226439393</v>
      </c>
      <c r="BF14" s="23">
        <f t="shared" si="6"/>
        <v>-11.12755526778281</v>
      </c>
      <c r="BG14" s="23">
        <f t="shared" si="6"/>
        <v>-11.05003979307601</v>
      </c>
      <c r="BH14" s="23"/>
      <c r="BI14" s="20">
        <v>3837</v>
      </c>
      <c r="BJ14" s="10">
        <f t="shared" si="7"/>
        <v>30.306750065155068</v>
      </c>
      <c r="BK14" s="20">
        <v>116287</v>
      </c>
      <c r="BL14" s="20">
        <v>115291</v>
      </c>
      <c r="BM14" s="23">
        <f>BI14*100/AZ14-100</f>
        <v>-20.476683937823836</v>
      </c>
      <c r="BN14" s="23">
        <f t="shared" si="8"/>
        <v>1.4641056511054842</v>
      </c>
      <c r="BO14" s="23">
        <f t="shared" si="9"/>
        <v>-19.312378573411053</v>
      </c>
      <c r="BP14" s="23">
        <f t="shared" si="10"/>
        <v>-19.410736753809587</v>
      </c>
      <c r="BQ14" s="23"/>
      <c r="BR14" s="20">
        <v>4113</v>
      </c>
      <c r="BS14" s="10">
        <f t="shared" si="11"/>
        <v>32.38584974471189</v>
      </c>
      <c r="BT14" s="20">
        <v>133203</v>
      </c>
      <c r="BU14" s="20">
        <v>131826</v>
      </c>
      <c r="BV14" s="23">
        <f t="shared" si="12"/>
        <v>7.193119624706796</v>
      </c>
      <c r="BW14" s="23">
        <f t="shared" si="13"/>
        <v>6.860186839852716</v>
      </c>
      <c r="BX14" s="23">
        <f t="shared" si="14"/>
        <v>14.546767910428514</v>
      </c>
      <c r="BY14" s="23">
        <f t="shared" si="15"/>
        <v>14.341969451214752</v>
      </c>
      <c r="BZ14" s="20">
        <v>4172</v>
      </c>
      <c r="CA14" s="10">
        <f t="shared" si="16"/>
        <v>31.986097794822626</v>
      </c>
      <c r="CB14" s="20">
        <v>133446</v>
      </c>
      <c r="CC14" s="20">
        <v>131699</v>
      </c>
      <c r="CD14" s="23">
        <f t="shared" si="17"/>
        <v>1.4344760515438821</v>
      </c>
      <c r="CE14" s="23">
        <f t="shared" si="17"/>
        <v>-1.2343413961356333</v>
      </c>
      <c r="CF14" s="23">
        <f t="shared" si="17"/>
        <v>0.18242832368640904</v>
      </c>
      <c r="CG14" s="23">
        <f t="shared" si="17"/>
        <v>-0.09633911368015902</v>
      </c>
    </row>
    <row r="15" spans="1:85" ht="12">
      <c r="A15" s="1" t="s">
        <v>15</v>
      </c>
      <c r="B15" s="20">
        <v>344681</v>
      </c>
      <c r="C15" s="10">
        <f t="shared" si="18"/>
        <v>36.11984124451304</v>
      </c>
      <c r="D15" s="11">
        <v>12449823</v>
      </c>
      <c r="E15" s="11">
        <v>12252821</v>
      </c>
      <c r="F15" s="8"/>
      <c r="G15" s="20">
        <v>330524</v>
      </c>
      <c r="H15" s="10">
        <f t="shared" si="19"/>
        <v>37.75413585700282</v>
      </c>
      <c r="I15" s="11">
        <v>12478648</v>
      </c>
      <c r="J15" s="11">
        <v>12367108</v>
      </c>
      <c r="K15" s="23">
        <f t="shared" si="0"/>
        <v>-4.107276003028886</v>
      </c>
      <c r="L15" s="23">
        <f t="shared" si="0"/>
        <v>4.5246450598341</v>
      </c>
      <c r="M15" s="23">
        <f t="shared" si="0"/>
        <v>0.23152939604041478</v>
      </c>
      <c r="N15" s="23">
        <f t="shared" si="0"/>
        <v>0.93274030527337</v>
      </c>
      <c r="O15" s="23"/>
      <c r="P15" s="20">
        <v>306782</v>
      </c>
      <c r="Q15" s="10">
        <f t="shared" si="20"/>
        <v>34.50478515688665</v>
      </c>
      <c r="R15" s="11">
        <v>10585447</v>
      </c>
      <c r="S15" s="11">
        <v>10492003</v>
      </c>
      <c r="T15" s="23">
        <f t="shared" si="21"/>
        <v>-7.1831394997035005</v>
      </c>
      <c r="U15" s="23">
        <f t="shared" si="21"/>
        <v>-8.606608590972343</v>
      </c>
      <c r="V15" s="23">
        <f t="shared" si="21"/>
        <v>-15.171523389392831</v>
      </c>
      <c r="W15" s="23">
        <f t="shared" si="21"/>
        <v>-15.162033031489656</v>
      </c>
      <c r="X15" s="23"/>
      <c r="Y15" s="20">
        <v>272213</v>
      </c>
      <c r="Z15" s="10">
        <f t="shared" si="1"/>
        <v>35.156013856795965</v>
      </c>
      <c r="AA15" s="20">
        <v>9569924</v>
      </c>
      <c r="AB15" s="20">
        <v>9442570</v>
      </c>
      <c r="AC15" s="23">
        <f t="shared" si="22"/>
        <v>-11.268262153581375</v>
      </c>
      <c r="AD15" s="23">
        <f t="shared" si="22"/>
        <v>1.8873576431451653</v>
      </c>
      <c r="AE15" s="23">
        <f t="shared" si="22"/>
        <v>-9.593576917441467</v>
      </c>
      <c r="AF15" s="23">
        <f t="shared" si="22"/>
        <v>-10.002217879655575</v>
      </c>
      <c r="AG15" s="23"/>
      <c r="AH15" s="20">
        <v>270386</v>
      </c>
      <c r="AI15" s="10">
        <f t="shared" si="2"/>
        <v>35.56761444749358</v>
      </c>
      <c r="AJ15" s="20">
        <v>9616985</v>
      </c>
      <c r="AK15" s="20">
        <v>9509338</v>
      </c>
      <c r="AL15" s="23">
        <f t="shared" si="23"/>
        <v>-0.6711655945895245</v>
      </c>
      <c r="AM15" s="23">
        <f t="shared" si="23"/>
        <v>1.1707828776442852</v>
      </c>
      <c r="AN15" s="23">
        <f t="shared" si="23"/>
        <v>0.49175939119265877</v>
      </c>
      <c r="AO15" s="23">
        <f t="shared" si="23"/>
        <v>0.7070956318036252</v>
      </c>
      <c r="AP15" s="23"/>
      <c r="AQ15" s="20">
        <v>246127</v>
      </c>
      <c r="AR15" s="10">
        <f t="shared" si="3"/>
        <v>38.56273793610616</v>
      </c>
      <c r="AS15" s="20">
        <v>9491331</v>
      </c>
      <c r="AT15" s="20">
        <v>9402343</v>
      </c>
      <c r="AU15" s="23">
        <f t="shared" si="4"/>
        <v>-8.971988194655054</v>
      </c>
      <c r="AV15" s="23">
        <f t="shared" si="4"/>
        <v>8.420928800367264</v>
      </c>
      <c r="AW15" s="23">
        <f t="shared" si="4"/>
        <v>-1.306584132137047</v>
      </c>
      <c r="AX15" s="23">
        <f t="shared" si="4"/>
        <v>-1.125157187598134</v>
      </c>
      <c r="AY15" s="23"/>
      <c r="AZ15" s="20">
        <v>237268</v>
      </c>
      <c r="BA15" s="10">
        <f t="shared" si="5"/>
        <v>37.36180605897129</v>
      </c>
      <c r="BB15" s="20">
        <v>8864761</v>
      </c>
      <c r="BC15" s="20">
        <v>8755526</v>
      </c>
      <c r="BD15" s="23">
        <f t="shared" si="6"/>
        <v>-3.59936130534237</v>
      </c>
      <c r="BE15" s="23">
        <f t="shared" si="6"/>
        <v>-3.1142287643700826</v>
      </c>
      <c r="BF15" s="23">
        <f t="shared" si="6"/>
        <v>-6.601497724607853</v>
      </c>
      <c r="BG15" s="23">
        <f t="shared" si="6"/>
        <v>-6.8793172084872936</v>
      </c>
      <c r="BH15" s="23"/>
      <c r="BI15" s="20">
        <v>232713</v>
      </c>
      <c r="BJ15" s="10">
        <f t="shared" si="7"/>
        <v>37.015809172671915</v>
      </c>
      <c r="BK15" s="20">
        <v>8614060</v>
      </c>
      <c r="BL15" s="20">
        <v>8486805</v>
      </c>
      <c r="BM15" s="23">
        <f>BI15*100/AZ15-100</f>
        <v>-1.9197700490584424</v>
      </c>
      <c r="BN15" s="23">
        <f t="shared" si="8"/>
        <v>-0.9260710945109452</v>
      </c>
      <c r="BO15" s="23">
        <f t="shared" si="9"/>
        <v>-2.8280627080639817</v>
      </c>
      <c r="BP15" s="23">
        <f t="shared" si="10"/>
        <v>-3.0691588375158716</v>
      </c>
      <c r="BQ15" s="23"/>
      <c r="BR15" s="20">
        <v>242895</v>
      </c>
      <c r="BS15" s="10">
        <f t="shared" si="11"/>
        <v>39.77605138022602</v>
      </c>
      <c r="BT15" s="20">
        <v>9661404</v>
      </c>
      <c r="BU15" s="20">
        <v>9551307</v>
      </c>
      <c r="BV15" s="23">
        <f t="shared" si="12"/>
        <v>4.375346456794418</v>
      </c>
      <c r="BW15" s="23">
        <f t="shared" si="13"/>
        <v>7.456927916064416</v>
      </c>
      <c r="BX15" s="23">
        <f t="shared" si="14"/>
        <v>12.158540804220081</v>
      </c>
      <c r="BY15" s="23">
        <f t="shared" si="15"/>
        <v>12.543024141593918</v>
      </c>
      <c r="BZ15" s="20">
        <v>244232</v>
      </c>
      <c r="CA15" s="10">
        <f t="shared" si="16"/>
        <v>40.94619050738642</v>
      </c>
      <c r="CB15" s="20">
        <v>10000370</v>
      </c>
      <c r="CC15" s="20">
        <v>9914147</v>
      </c>
      <c r="CD15" s="23">
        <f t="shared" si="17"/>
        <v>0.5504436073200338</v>
      </c>
      <c r="CE15" s="23">
        <f t="shared" si="17"/>
        <v>2.941818221157348</v>
      </c>
      <c r="CF15" s="23">
        <f t="shared" si="17"/>
        <v>3.5084548788147174</v>
      </c>
      <c r="CG15" s="23">
        <f t="shared" si="17"/>
        <v>3.7988518220595324</v>
      </c>
    </row>
    <row r="16" spans="1:85" ht="12">
      <c r="A16" s="1" t="s">
        <v>16</v>
      </c>
      <c r="B16" s="20">
        <v>154500</v>
      </c>
      <c r="C16" s="10">
        <f t="shared" si="18"/>
        <v>23.87190291262136</v>
      </c>
      <c r="D16" s="11">
        <v>3688209</v>
      </c>
      <c r="E16" s="11">
        <v>3611478</v>
      </c>
      <c r="F16" s="8"/>
      <c r="G16" s="20">
        <v>147602</v>
      </c>
      <c r="H16" s="10">
        <f t="shared" si="19"/>
        <v>24.567627809921273</v>
      </c>
      <c r="I16" s="11">
        <v>3626231</v>
      </c>
      <c r="J16" s="11">
        <v>3560941</v>
      </c>
      <c r="K16" s="23">
        <f t="shared" si="0"/>
        <v>-4.464724919093854</v>
      </c>
      <c r="L16" s="23">
        <f t="shared" si="0"/>
        <v>2.9144090433279928</v>
      </c>
      <c r="M16" s="23">
        <f t="shared" si="0"/>
        <v>-1.68043622256765</v>
      </c>
      <c r="N16" s="23">
        <f t="shared" si="0"/>
        <v>-1.3993439804977328</v>
      </c>
      <c r="O16" s="23"/>
      <c r="P16" s="20">
        <v>133853</v>
      </c>
      <c r="Q16" s="10">
        <f t="shared" si="20"/>
        <v>23.905941592642677</v>
      </c>
      <c r="R16" s="11">
        <v>3199882</v>
      </c>
      <c r="S16" s="11">
        <v>3144206</v>
      </c>
      <c r="T16" s="23">
        <f t="shared" si="21"/>
        <v>-9.314914432053769</v>
      </c>
      <c r="U16" s="23">
        <f t="shared" si="21"/>
        <v>-2.693325633219601</v>
      </c>
      <c r="V16" s="23">
        <f t="shared" si="21"/>
        <v>-11.7573590871624</v>
      </c>
      <c r="W16" s="23">
        <f t="shared" si="21"/>
        <v>-11.702945934796446</v>
      </c>
      <c r="X16" s="23"/>
      <c r="Y16" s="20">
        <v>130034</v>
      </c>
      <c r="Z16" s="10">
        <f t="shared" si="1"/>
        <v>22.895819554885644</v>
      </c>
      <c r="AA16" s="20">
        <v>2977235</v>
      </c>
      <c r="AB16" s="20">
        <v>2888802</v>
      </c>
      <c r="AC16" s="23">
        <f t="shared" si="22"/>
        <v>-2.8531299261129703</v>
      </c>
      <c r="AD16" s="23">
        <f t="shared" si="22"/>
        <v>-4.225401596680513</v>
      </c>
      <c r="AE16" s="23">
        <f t="shared" si="22"/>
        <v>-6.957975325340115</v>
      </c>
      <c r="AF16" s="23">
        <f t="shared" si="22"/>
        <v>-8.123004663180467</v>
      </c>
      <c r="AG16" s="23"/>
      <c r="AH16" s="20">
        <v>126254</v>
      </c>
      <c r="AI16" s="10">
        <f t="shared" si="2"/>
        <v>24.004015714353606</v>
      </c>
      <c r="AJ16" s="20">
        <v>3030603</v>
      </c>
      <c r="AK16" s="20">
        <v>2970788</v>
      </c>
      <c r="AL16" s="23">
        <f t="shared" si="23"/>
        <v>-2.906932033160558</v>
      </c>
      <c r="AM16" s="23">
        <f t="shared" si="23"/>
        <v>4.840168122444368</v>
      </c>
      <c r="AN16" s="23">
        <f t="shared" si="23"/>
        <v>1.792535691673649</v>
      </c>
      <c r="AO16" s="23">
        <f t="shared" si="23"/>
        <v>2.838062283257898</v>
      </c>
      <c r="AP16" s="23"/>
      <c r="AQ16" s="20">
        <v>120012</v>
      </c>
      <c r="AR16" s="10">
        <f t="shared" si="3"/>
        <v>24.711145552111457</v>
      </c>
      <c r="AS16" s="20">
        <v>2965634</v>
      </c>
      <c r="AT16" s="20">
        <v>2923566</v>
      </c>
      <c r="AU16" s="23">
        <f t="shared" si="4"/>
        <v>-4.944001774201212</v>
      </c>
      <c r="AV16" s="23">
        <f t="shared" si="4"/>
        <v>2.9458814148959647</v>
      </c>
      <c r="AW16" s="23">
        <f t="shared" si="4"/>
        <v>-2.1437647887235585</v>
      </c>
      <c r="AX16" s="23">
        <f t="shared" si="4"/>
        <v>-1.589544592209208</v>
      </c>
      <c r="AY16" s="23"/>
      <c r="AZ16" s="20">
        <v>104862</v>
      </c>
      <c r="BA16" s="10">
        <f t="shared" si="5"/>
        <v>23.858614178634777</v>
      </c>
      <c r="BB16" s="20">
        <v>2501862</v>
      </c>
      <c r="BC16" s="20">
        <v>2469161</v>
      </c>
      <c r="BD16" s="23">
        <f t="shared" si="6"/>
        <v>-12.623737626237372</v>
      </c>
      <c r="BE16" s="23">
        <f t="shared" si="6"/>
        <v>-3.449987260521141</v>
      </c>
      <c r="BF16" s="23">
        <f t="shared" si="6"/>
        <v>-15.638207546851703</v>
      </c>
      <c r="BG16" s="23">
        <f t="shared" si="6"/>
        <v>-15.542833649043672</v>
      </c>
      <c r="BH16" s="23"/>
      <c r="BI16" s="20">
        <v>103525</v>
      </c>
      <c r="BJ16" s="10">
        <f t="shared" si="7"/>
        <v>23.68249215165419</v>
      </c>
      <c r="BK16" s="20">
        <v>2451730</v>
      </c>
      <c r="BL16" s="20">
        <v>2411384</v>
      </c>
      <c r="BM16" s="23">
        <f>BI16*100/AZ16-100</f>
        <v>-1.275009059525857</v>
      </c>
      <c r="BN16" s="23">
        <f t="shared" si="8"/>
        <v>-0.7381905154336295</v>
      </c>
      <c r="BO16" s="23">
        <f t="shared" si="9"/>
        <v>-2.0037875790111457</v>
      </c>
      <c r="BP16" s="23">
        <f t="shared" si="10"/>
        <v>-2.3399446208651398</v>
      </c>
      <c r="BQ16" s="23"/>
      <c r="BR16" s="20">
        <v>108956</v>
      </c>
      <c r="BS16" s="10">
        <f t="shared" si="11"/>
        <v>24.29481625610338</v>
      </c>
      <c r="BT16" s="20">
        <v>2647066</v>
      </c>
      <c r="BU16" s="20">
        <v>2613658</v>
      </c>
      <c r="BV16" s="23">
        <f t="shared" si="12"/>
        <v>5.246075827094899</v>
      </c>
      <c r="BW16" s="23">
        <f t="shared" si="13"/>
        <v>2.5855560323976334</v>
      </c>
      <c r="BX16" s="23">
        <f t="shared" si="14"/>
        <v>7.967272089504149</v>
      </c>
      <c r="BY16" s="23">
        <f t="shared" si="15"/>
        <v>8.388294854739016</v>
      </c>
      <c r="BZ16" s="20">
        <v>105118</v>
      </c>
      <c r="CA16" s="10">
        <f t="shared" si="16"/>
        <v>24.995452729313723</v>
      </c>
      <c r="CB16" s="20">
        <v>2627472</v>
      </c>
      <c r="CC16" s="20">
        <v>2606002</v>
      </c>
      <c r="CD16" s="23">
        <f t="shared" si="17"/>
        <v>-3.5225228532618615</v>
      </c>
      <c r="CE16" s="23">
        <f t="shared" si="17"/>
        <v>2.88389286761668</v>
      </c>
      <c r="CF16" s="23">
        <f t="shared" si="17"/>
        <v>-0.740215770970579</v>
      </c>
      <c r="CG16" s="23">
        <f t="shared" si="17"/>
        <v>-0.29292279250000774</v>
      </c>
    </row>
    <row r="17" spans="1:85" ht="12">
      <c r="A17" s="1" t="s">
        <v>17</v>
      </c>
      <c r="B17" s="20">
        <v>1053396</v>
      </c>
      <c r="C17" s="10">
        <f t="shared" si="18"/>
        <v>93.47865190298805</v>
      </c>
      <c r="D17" s="11">
        <v>98470038</v>
      </c>
      <c r="E17" s="11">
        <v>98092651</v>
      </c>
      <c r="F17" s="8"/>
      <c r="G17" s="20">
        <v>991524</v>
      </c>
      <c r="H17" s="10">
        <f t="shared" si="19"/>
        <v>98.73084867335535</v>
      </c>
      <c r="I17" s="11">
        <v>97894006</v>
      </c>
      <c r="J17" s="11">
        <v>97229104</v>
      </c>
      <c r="K17" s="23">
        <f t="shared" si="0"/>
        <v>-5.873574610118126</v>
      </c>
      <c r="L17" s="23">
        <f t="shared" si="0"/>
        <v>5.61860559972348</v>
      </c>
      <c r="M17" s="23">
        <f t="shared" si="0"/>
        <v>-0.5849820023426844</v>
      </c>
      <c r="N17" s="23">
        <f t="shared" si="0"/>
        <v>-0.8803381203348266</v>
      </c>
      <c r="O17" s="23"/>
      <c r="P17" s="20">
        <v>916158</v>
      </c>
      <c r="Q17" s="10">
        <f t="shared" si="20"/>
        <v>89.57587228403834</v>
      </c>
      <c r="R17" s="11">
        <v>82065652</v>
      </c>
      <c r="S17" s="11">
        <v>78837744</v>
      </c>
      <c r="T17" s="23">
        <f t="shared" si="21"/>
        <v>-7.601026298909559</v>
      </c>
      <c r="U17" s="23">
        <f t="shared" si="21"/>
        <v>-9.272660482850355</v>
      </c>
      <c r="V17" s="23">
        <f t="shared" si="21"/>
        <v>-16.16886941984987</v>
      </c>
      <c r="W17" s="23">
        <f t="shared" si="21"/>
        <v>-18.915488514632415</v>
      </c>
      <c r="X17" s="23"/>
      <c r="Y17" s="20">
        <v>926776</v>
      </c>
      <c r="Z17" s="10">
        <f t="shared" si="1"/>
        <v>92.42990539245729</v>
      </c>
      <c r="AA17" s="20">
        <v>85661818</v>
      </c>
      <c r="AB17" s="20">
        <v>84959461</v>
      </c>
      <c r="AC17" s="23">
        <f t="shared" si="22"/>
        <v>1.1589703959360662</v>
      </c>
      <c r="AD17" s="23">
        <f t="shared" si="22"/>
        <v>3.186162786524733</v>
      </c>
      <c r="AE17" s="23">
        <f t="shared" si="22"/>
        <v>4.382059865922955</v>
      </c>
      <c r="AF17" s="23">
        <f t="shared" si="22"/>
        <v>7.764957099736392</v>
      </c>
      <c r="AG17" s="23"/>
      <c r="AH17" s="20">
        <v>994773</v>
      </c>
      <c r="AI17" s="10">
        <f t="shared" si="2"/>
        <v>98.40897873183128</v>
      </c>
      <c r="AJ17" s="20">
        <v>97894595</v>
      </c>
      <c r="AK17" s="20">
        <v>97523734</v>
      </c>
      <c r="AL17" s="23">
        <f t="shared" si="23"/>
        <v>7.336940102031122</v>
      </c>
      <c r="AM17" s="23">
        <f t="shared" si="23"/>
        <v>6.468764967341315</v>
      </c>
      <c r="AN17" s="23">
        <f t="shared" si="23"/>
        <v>14.280314480367437</v>
      </c>
      <c r="AO17" s="23">
        <f t="shared" si="23"/>
        <v>14.788550741864995</v>
      </c>
      <c r="AP17" s="23"/>
      <c r="AQ17" s="20">
        <v>978543</v>
      </c>
      <c r="AR17" s="10">
        <f t="shared" si="3"/>
        <v>81.00617346401742</v>
      </c>
      <c r="AS17" s="20">
        <v>79268024</v>
      </c>
      <c r="AT17" s="20">
        <v>78601233</v>
      </c>
      <c r="AU17" s="23">
        <f t="shared" si="4"/>
        <v>-1.6315279968394805</v>
      </c>
      <c r="AV17" s="23">
        <f t="shared" si="4"/>
        <v>-17.68416407941521</v>
      </c>
      <c r="AW17" s="23">
        <f t="shared" si="4"/>
        <v>-19.027169988292002</v>
      </c>
      <c r="AX17" s="23">
        <f t="shared" si="4"/>
        <v>-19.40297015288607</v>
      </c>
      <c r="AY17" s="23"/>
      <c r="AZ17" s="20">
        <v>908114</v>
      </c>
      <c r="BA17" s="10">
        <f t="shared" si="5"/>
        <v>88.14674258958676</v>
      </c>
      <c r="BB17" s="20">
        <v>80047291</v>
      </c>
      <c r="BC17" s="20">
        <v>78996165</v>
      </c>
      <c r="BD17" s="23">
        <f t="shared" si="6"/>
        <v>-7.197333178000349</v>
      </c>
      <c r="BE17" s="23">
        <f t="shared" si="6"/>
        <v>8.814845610181976</v>
      </c>
      <c r="BF17" s="23">
        <f t="shared" si="6"/>
        <v>0.9830786244905028</v>
      </c>
      <c r="BG17" s="23">
        <f t="shared" si="6"/>
        <v>0.5024501333204228</v>
      </c>
      <c r="BH17" s="23"/>
      <c r="BI17" s="20">
        <v>869947</v>
      </c>
      <c r="BJ17" s="10">
        <f t="shared" si="7"/>
        <v>107.50072015881427</v>
      </c>
      <c r="BK17" s="20">
        <v>93519929</v>
      </c>
      <c r="BL17" s="20">
        <v>92500449</v>
      </c>
      <c r="BM17" s="45"/>
      <c r="BN17" s="23">
        <f t="shared" si="8"/>
        <v>21.95654314685237</v>
      </c>
      <c r="BO17" s="23">
        <f t="shared" si="9"/>
        <v>16.830848154499066</v>
      </c>
      <c r="BP17" s="23">
        <f t="shared" si="10"/>
        <v>17.09486023783559</v>
      </c>
      <c r="BQ17" s="23"/>
      <c r="BR17" s="20">
        <v>727366</v>
      </c>
      <c r="BS17" s="10">
        <f t="shared" si="11"/>
        <v>98.15536194982994</v>
      </c>
      <c r="BT17" s="20">
        <v>71394873</v>
      </c>
      <c r="BU17" s="20">
        <v>70738965</v>
      </c>
      <c r="BV17" s="23">
        <f t="shared" si="12"/>
        <v>-16.389619137717588</v>
      </c>
      <c r="BW17" s="23">
        <f t="shared" si="13"/>
        <v>-8.693298235749623</v>
      </c>
      <c r="BX17" s="23">
        <f t="shared" si="14"/>
        <v>-23.658118902121927</v>
      </c>
      <c r="BY17" s="23">
        <f t="shared" si="15"/>
        <v>-23.52581445307362</v>
      </c>
      <c r="BZ17" s="20">
        <v>655993</v>
      </c>
      <c r="CA17" s="10">
        <f t="shared" si="16"/>
        <v>101.48041366295067</v>
      </c>
      <c r="CB17" s="20">
        <v>66570441</v>
      </c>
      <c r="CC17" s="20">
        <v>65970645</v>
      </c>
      <c r="CD17" s="23">
        <f t="shared" si="17"/>
        <v>-9.81252904315022</v>
      </c>
      <c r="CE17" s="23">
        <f t="shared" si="17"/>
        <v>3.38753955674909</v>
      </c>
      <c r="CF17" s="23">
        <f t="shared" si="17"/>
        <v>-6.757392789255334</v>
      </c>
      <c r="CG17" s="23">
        <f t="shared" si="17"/>
        <v>-6.740726274409013</v>
      </c>
    </row>
    <row r="18" spans="1:85" ht="12">
      <c r="A18" s="1" t="s">
        <v>18</v>
      </c>
      <c r="B18" s="35" t="s">
        <v>1</v>
      </c>
      <c r="C18" s="35" t="s">
        <v>1</v>
      </c>
      <c r="D18" s="35" t="s">
        <v>1</v>
      </c>
      <c r="E18" s="35" t="s">
        <v>1</v>
      </c>
      <c r="F18" s="6"/>
      <c r="G18" s="35" t="s">
        <v>1</v>
      </c>
      <c r="H18" s="35" t="s">
        <v>1</v>
      </c>
      <c r="I18" s="35" t="s">
        <v>1</v>
      </c>
      <c r="J18" s="35" t="s">
        <v>1</v>
      </c>
      <c r="K18" s="35" t="s">
        <v>1</v>
      </c>
      <c r="L18" s="35" t="s">
        <v>1</v>
      </c>
      <c r="M18" s="35" t="s">
        <v>1</v>
      </c>
      <c r="N18" s="35" t="s">
        <v>1</v>
      </c>
      <c r="O18" s="24"/>
      <c r="P18" s="35" t="s">
        <v>1</v>
      </c>
      <c r="Q18" s="35" t="s">
        <v>1</v>
      </c>
      <c r="R18" s="35" t="s">
        <v>1</v>
      </c>
      <c r="S18" s="35" t="s">
        <v>1</v>
      </c>
      <c r="T18" s="35" t="s">
        <v>1</v>
      </c>
      <c r="U18" s="35" t="s">
        <v>1</v>
      </c>
      <c r="V18" s="35" t="s">
        <v>1</v>
      </c>
      <c r="W18" s="35" t="s">
        <v>1</v>
      </c>
      <c r="X18" s="35"/>
      <c r="Y18" s="35" t="s">
        <v>1</v>
      </c>
      <c r="Z18" s="35" t="s">
        <v>1</v>
      </c>
      <c r="AA18" s="35" t="s">
        <v>1</v>
      </c>
      <c r="AB18" s="35" t="s">
        <v>1</v>
      </c>
      <c r="AC18" s="35" t="s">
        <v>1</v>
      </c>
      <c r="AD18" s="35" t="s">
        <v>1</v>
      </c>
      <c r="AE18" s="35" t="s">
        <v>1</v>
      </c>
      <c r="AF18" s="35" t="s">
        <v>1</v>
      </c>
      <c r="AG18" s="35"/>
      <c r="AH18" s="35" t="s">
        <v>1</v>
      </c>
      <c r="AI18" s="35" t="s">
        <v>1</v>
      </c>
      <c r="AJ18" s="35" t="s">
        <v>1</v>
      </c>
      <c r="AK18" s="35" t="s">
        <v>1</v>
      </c>
      <c r="AL18" s="35" t="s">
        <v>1</v>
      </c>
      <c r="AM18" s="35" t="s">
        <v>1</v>
      </c>
      <c r="AN18" s="35" t="s">
        <v>1</v>
      </c>
      <c r="AO18" s="35" t="s">
        <v>1</v>
      </c>
      <c r="AP18" s="35"/>
      <c r="AQ18" s="20" t="s">
        <v>1</v>
      </c>
      <c r="AR18" s="10" t="s">
        <v>1</v>
      </c>
      <c r="AS18" s="20" t="s">
        <v>1</v>
      </c>
      <c r="AT18" s="20" t="s">
        <v>1</v>
      </c>
      <c r="AU18" s="24" t="s">
        <v>1</v>
      </c>
      <c r="AV18" s="24" t="s">
        <v>1</v>
      </c>
      <c r="AW18" s="24" t="s">
        <v>1</v>
      </c>
      <c r="AX18" s="24" t="s">
        <v>1</v>
      </c>
      <c r="AY18" s="35"/>
      <c r="AZ18" s="20" t="s">
        <v>1</v>
      </c>
      <c r="BA18" s="10" t="s">
        <v>1</v>
      </c>
      <c r="BB18" s="20" t="s">
        <v>1</v>
      </c>
      <c r="BC18" s="20" t="s">
        <v>1</v>
      </c>
      <c r="BD18" s="24" t="s">
        <v>1</v>
      </c>
      <c r="BE18" s="24" t="s">
        <v>1</v>
      </c>
      <c r="BF18" s="24" t="s">
        <v>1</v>
      </c>
      <c r="BG18" s="24" t="s">
        <v>1</v>
      </c>
      <c r="BH18" s="35"/>
      <c r="BI18" s="20" t="s">
        <v>1</v>
      </c>
      <c r="BJ18" s="10" t="s">
        <v>1</v>
      </c>
      <c r="BK18" s="20" t="s">
        <v>1</v>
      </c>
      <c r="BL18" s="20" t="s">
        <v>1</v>
      </c>
      <c r="BM18" s="24" t="s">
        <v>1</v>
      </c>
      <c r="BN18" s="24" t="s">
        <v>1</v>
      </c>
      <c r="BO18" s="24" t="s">
        <v>1</v>
      </c>
      <c r="BP18" s="24" t="s">
        <v>1</v>
      </c>
      <c r="BQ18" s="35"/>
      <c r="BR18" s="20" t="s">
        <v>1</v>
      </c>
      <c r="BS18" s="10" t="s">
        <v>1</v>
      </c>
      <c r="BT18" s="20" t="s">
        <v>1</v>
      </c>
      <c r="BU18" s="20" t="s">
        <v>1</v>
      </c>
      <c r="BV18" s="24" t="s">
        <v>1</v>
      </c>
      <c r="BW18" s="24" t="s">
        <v>1</v>
      </c>
      <c r="BX18" s="24" t="s">
        <v>1</v>
      </c>
      <c r="BY18" s="24" t="s">
        <v>1</v>
      </c>
      <c r="BZ18" s="20" t="s">
        <v>1</v>
      </c>
      <c r="CA18" s="10" t="s">
        <v>1</v>
      </c>
      <c r="CB18" s="20" t="s">
        <v>1</v>
      </c>
      <c r="CC18" s="20" t="s">
        <v>1</v>
      </c>
      <c r="CD18" s="24" t="s">
        <v>1</v>
      </c>
      <c r="CE18" s="24" t="s">
        <v>1</v>
      </c>
      <c r="CF18" s="24" t="s">
        <v>1</v>
      </c>
      <c r="CG18" s="24" t="s">
        <v>1</v>
      </c>
    </row>
    <row r="19" spans="1:85" ht="12">
      <c r="A19" s="1" t="s">
        <v>19</v>
      </c>
      <c r="B19" s="39" t="s">
        <v>138</v>
      </c>
      <c r="C19" s="10" t="e">
        <f t="shared" si="18"/>
        <v>#VALUE!</v>
      </c>
      <c r="D19" s="39" t="s">
        <v>138</v>
      </c>
      <c r="E19" s="39" t="s">
        <v>138</v>
      </c>
      <c r="F19" s="8"/>
      <c r="G19" s="20">
        <v>224196</v>
      </c>
      <c r="H19" s="10">
        <f t="shared" si="19"/>
        <v>61.95146211350782</v>
      </c>
      <c r="I19" s="11">
        <v>13889270</v>
      </c>
      <c r="J19" s="11">
        <v>13889270</v>
      </c>
      <c r="K19" s="23" t="e">
        <f aca="true" t="shared" si="24" ref="K19:N20">G19*100/B19-100</f>
        <v>#VALUE!</v>
      </c>
      <c r="L19" s="23" t="e">
        <f t="shared" si="24"/>
        <v>#VALUE!</v>
      </c>
      <c r="M19" s="23" t="e">
        <f t="shared" si="24"/>
        <v>#VALUE!</v>
      </c>
      <c r="N19" s="23" t="e">
        <f t="shared" si="24"/>
        <v>#VALUE!</v>
      </c>
      <c r="O19" s="23"/>
      <c r="P19" s="20">
        <v>238460</v>
      </c>
      <c r="Q19" s="10">
        <f t="shared" si="20"/>
        <v>70.03002600016774</v>
      </c>
      <c r="R19" s="11">
        <v>16699360</v>
      </c>
      <c r="S19" s="11">
        <v>16699360</v>
      </c>
      <c r="T19" s="23">
        <f t="shared" si="21"/>
        <v>6.362290138985529</v>
      </c>
      <c r="U19" s="23">
        <f t="shared" si="21"/>
        <v>13.04015048403268</v>
      </c>
      <c r="V19" s="23">
        <f t="shared" si="21"/>
        <v>20.23209283137271</v>
      </c>
      <c r="W19" s="23">
        <f t="shared" si="21"/>
        <v>20.23209283137271</v>
      </c>
      <c r="X19" s="23"/>
      <c r="Y19" s="20">
        <v>247653</v>
      </c>
      <c r="Z19" s="10">
        <f aca="true" t="shared" si="25" ref="Z19:Z84">AA19/Y19</f>
        <v>63.67078129479554</v>
      </c>
      <c r="AA19" s="20">
        <v>15768260</v>
      </c>
      <c r="AB19" s="20">
        <v>15768260</v>
      </c>
      <c r="AC19" s="23">
        <f t="shared" si="22"/>
        <v>3.8551539042187386</v>
      </c>
      <c r="AD19" s="23">
        <f t="shared" si="22"/>
        <v>-9.080740174731574</v>
      </c>
      <c r="AE19" s="23">
        <f t="shared" si="22"/>
        <v>-5.575662779890962</v>
      </c>
      <c r="AF19" s="23">
        <f t="shared" si="22"/>
        <v>-5.575662779890962</v>
      </c>
      <c r="AG19" s="23"/>
      <c r="AH19" s="20">
        <v>246537</v>
      </c>
      <c r="AI19" s="10">
        <f>AJ19/AH19</f>
        <v>63.10748488056559</v>
      </c>
      <c r="AJ19" s="20">
        <v>15558330</v>
      </c>
      <c r="AK19" s="20">
        <v>15558330</v>
      </c>
      <c r="AL19" s="23">
        <f t="shared" si="23"/>
        <v>-0.4506305193153253</v>
      </c>
      <c r="AM19" s="23">
        <f t="shared" si="23"/>
        <v>-0.8847015896065216</v>
      </c>
      <c r="AN19" s="23">
        <f t="shared" si="23"/>
        <v>-1.331345373554214</v>
      </c>
      <c r="AO19" s="23">
        <f t="shared" si="23"/>
        <v>-1.331345373554214</v>
      </c>
      <c r="AP19" s="23"/>
      <c r="AQ19" s="20">
        <v>235052</v>
      </c>
      <c r="AR19" s="10">
        <f aca="true" t="shared" si="26" ref="AR19:AR27">AS19/AQ19</f>
        <v>68.13292377856814</v>
      </c>
      <c r="AS19" s="20">
        <v>16014780</v>
      </c>
      <c r="AT19" s="20">
        <v>16014780</v>
      </c>
      <c r="AU19" s="23">
        <f aca="true" t="shared" si="27" ref="AU19:AX20">AQ19*100/AH19-100</f>
        <v>-4.658529956963861</v>
      </c>
      <c r="AV19" s="23">
        <f t="shared" si="27"/>
        <v>7.963300878673053</v>
      </c>
      <c r="AW19" s="23">
        <f t="shared" si="27"/>
        <v>2.9337981647130533</v>
      </c>
      <c r="AX19" s="23">
        <f t="shared" si="27"/>
        <v>2.9337981647130533</v>
      </c>
      <c r="AY19" s="23"/>
      <c r="AZ19" s="20">
        <v>216019</v>
      </c>
      <c r="BA19" s="10">
        <f aca="true" t="shared" si="28" ref="BA19:BA27">BB19/AZ19</f>
        <v>66.34189585175378</v>
      </c>
      <c r="BB19" s="20">
        <v>14331110</v>
      </c>
      <c r="BC19" s="20">
        <v>14331110</v>
      </c>
      <c r="BD19" s="45"/>
      <c r="BE19" s="23">
        <f aca="true" t="shared" si="29" ref="BD19:BG21">BA19*100/AR19-100</f>
        <v>-2.6287260658814517</v>
      </c>
      <c r="BF19" s="23">
        <f t="shared" si="29"/>
        <v>-10.513225907567886</v>
      </c>
      <c r="BG19" s="23">
        <f t="shared" si="29"/>
        <v>-10.513225907567886</v>
      </c>
      <c r="BH19" s="23"/>
      <c r="BI19" s="20"/>
      <c r="BJ19" s="10" t="e">
        <f aca="true" t="shared" si="30" ref="BJ19:BJ27">BK19/BI19</f>
        <v>#DIV/0!</v>
      </c>
      <c r="BK19" s="20"/>
      <c r="BL19" s="20"/>
      <c r="BM19" s="23">
        <f aca="true" t="shared" si="31" ref="BM19:BP21">BI19*100/AZ19-100</f>
        <v>-100</v>
      </c>
      <c r="BN19" s="23" t="e">
        <f t="shared" si="31"/>
        <v>#DIV/0!</v>
      </c>
      <c r="BO19" s="23">
        <f t="shared" si="31"/>
        <v>-100</v>
      </c>
      <c r="BP19" s="23">
        <f t="shared" si="31"/>
        <v>-100</v>
      </c>
      <c r="BQ19" s="23"/>
      <c r="BR19" s="20"/>
      <c r="BS19" s="10" t="e">
        <f aca="true" t="shared" si="32" ref="BS19:BS27">BT19/BR19</f>
        <v>#DIV/0!</v>
      </c>
      <c r="BT19" s="20"/>
      <c r="BU19" s="20"/>
      <c r="BV19" s="23" t="e">
        <f aca="true" t="shared" si="33" ref="BV19:BV26">BR19*100/BI19-100</f>
        <v>#DIV/0!</v>
      </c>
      <c r="BW19" s="23" t="e">
        <f aca="true" t="shared" si="34" ref="BW19:BY20">BS19*100/BJ19-100</f>
        <v>#DIV/0!</v>
      </c>
      <c r="BX19" s="23" t="e">
        <f t="shared" si="34"/>
        <v>#DIV/0!</v>
      </c>
      <c r="BY19" s="23" t="e">
        <f t="shared" si="34"/>
        <v>#DIV/0!</v>
      </c>
      <c r="BZ19" s="20"/>
      <c r="CA19" s="10" t="e">
        <f aca="true" t="shared" si="35" ref="CA19:CA27">CB19/BZ19</f>
        <v>#DIV/0!</v>
      </c>
      <c r="CB19" s="20"/>
      <c r="CC19" s="20"/>
      <c r="CD19" s="23" t="e">
        <f aca="true" t="shared" si="36" ref="CD19:CD26">BZ19*100/BR19-100</f>
        <v>#DIV/0!</v>
      </c>
      <c r="CE19" s="23" t="e">
        <f aca="true" t="shared" si="37" ref="CE19:CE26">CA19*100/BS19-100</f>
        <v>#DIV/0!</v>
      </c>
      <c r="CF19" s="23" t="e">
        <f aca="true" t="shared" si="38" ref="CF19:CF26">CB19*100/BT19-100</f>
        <v>#DIV/0!</v>
      </c>
      <c r="CG19" s="23" t="e">
        <f aca="true" t="shared" si="39" ref="CG19:CG26">CC19*100/BU19-100</f>
        <v>#DIV/0!</v>
      </c>
    </row>
    <row r="20" spans="1:85" ht="12">
      <c r="A20" s="1" t="s">
        <v>20</v>
      </c>
      <c r="B20" s="20">
        <v>34046</v>
      </c>
      <c r="C20" s="10">
        <f t="shared" si="18"/>
        <v>57.02199964753569</v>
      </c>
      <c r="D20" s="11">
        <v>1941371</v>
      </c>
      <c r="E20" s="11">
        <v>1932432</v>
      </c>
      <c r="F20" s="8"/>
      <c r="G20" s="20">
        <v>38580</v>
      </c>
      <c r="H20" s="10">
        <f t="shared" si="19"/>
        <v>58.475920165889065</v>
      </c>
      <c r="I20" s="11">
        <v>2256001</v>
      </c>
      <c r="J20" s="11">
        <v>2245567</v>
      </c>
      <c r="K20" s="23">
        <f t="shared" si="24"/>
        <v>13.317276625741641</v>
      </c>
      <c r="L20" s="23">
        <f t="shared" si="24"/>
        <v>2.5497536518192163</v>
      </c>
      <c r="M20" s="23">
        <f t="shared" si="24"/>
        <v>16.206588024648553</v>
      </c>
      <c r="N20" s="23">
        <f t="shared" si="24"/>
        <v>16.2041924373018</v>
      </c>
      <c r="O20" s="23"/>
      <c r="P20" s="20">
        <v>39902</v>
      </c>
      <c r="Q20" s="10">
        <f t="shared" si="20"/>
        <v>61.15653350709238</v>
      </c>
      <c r="R20" s="11">
        <v>2440268</v>
      </c>
      <c r="S20" s="11">
        <v>2433979</v>
      </c>
      <c r="T20" s="23">
        <f t="shared" si="21"/>
        <v>3.426645930533951</v>
      </c>
      <c r="U20" s="23">
        <f t="shared" si="21"/>
        <v>4.584131953116312</v>
      </c>
      <c r="V20" s="23">
        <f t="shared" si="21"/>
        <v>8.167859854672045</v>
      </c>
      <c r="W20" s="23">
        <f t="shared" si="21"/>
        <v>8.390397614500031</v>
      </c>
      <c r="X20" s="23"/>
      <c r="Y20" s="20">
        <v>40306</v>
      </c>
      <c r="Z20" s="10">
        <f t="shared" si="25"/>
        <v>68.50927901553119</v>
      </c>
      <c r="AA20" s="20">
        <v>2761335</v>
      </c>
      <c r="AB20" s="20">
        <v>2755642</v>
      </c>
      <c r="AC20" s="23">
        <f t="shared" si="22"/>
        <v>1.0124805774146637</v>
      </c>
      <c r="AD20" s="23">
        <f t="shared" si="22"/>
        <v>12.022829102284078</v>
      </c>
      <c r="AE20" s="23">
        <f t="shared" si="22"/>
        <v>13.157038489215125</v>
      </c>
      <c r="AF20" s="23">
        <f t="shared" si="22"/>
        <v>13.215520758396025</v>
      </c>
      <c r="AG20" s="23"/>
      <c r="AH20" s="20">
        <v>42335</v>
      </c>
      <c r="AI20" s="10">
        <f>AJ20/AH20</f>
        <v>71.00687374512815</v>
      </c>
      <c r="AJ20" s="20">
        <v>3006076</v>
      </c>
      <c r="AK20" s="20">
        <v>2998618</v>
      </c>
      <c r="AL20" s="23">
        <f t="shared" si="23"/>
        <v>5.033989976678413</v>
      </c>
      <c r="AM20" s="23">
        <f t="shared" si="23"/>
        <v>3.645629855527673</v>
      </c>
      <c r="AN20" s="23">
        <f t="shared" si="23"/>
        <v>8.863140473720136</v>
      </c>
      <c r="AO20" s="23">
        <f t="shared" si="23"/>
        <v>8.817400808958496</v>
      </c>
      <c r="AP20" s="23"/>
      <c r="AQ20" s="20">
        <v>38637</v>
      </c>
      <c r="AR20" s="10">
        <f t="shared" si="26"/>
        <v>42.094520796128066</v>
      </c>
      <c r="AS20" s="20">
        <v>1626406</v>
      </c>
      <c r="AT20" s="20">
        <v>1621960</v>
      </c>
      <c r="AU20" s="23">
        <f t="shared" si="27"/>
        <v>-8.735089169717725</v>
      </c>
      <c r="AV20" s="23">
        <f t="shared" si="27"/>
        <v>-40.71768185820713</v>
      </c>
      <c r="AW20" s="23">
        <f t="shared" si="27"/>
        <v>-45.89604520976848</v>
      </c>
      <c r="AX20" s="23">
        <f t="shared" si="27"/>
        <v>-45.90974909108129</v>
      </c>
      <c r="AY20" s="23"/>
      <c r="AZ20" s="20">
        <v>51066</v>
      </c>
      <c r="BA20" s="10">
        <f t="shared" si="28"/>
        <v>62.27830650530686</v>
      </c>
      <c r="BB20" s="20">
        <v>3180304</v>
      </c>
      <c r="BC20" s="20">
        <v>3169193</v>
      </c>
      <c r="BD20" s="23">
        <f t="shared" si="29"/>
        <v>32.16864663405545</v>
      </c>
      <c r="BE20" s="23">
        <f t="shared" si="29"/>
        <v>47.948724269680554</v>
      </c>
      <c r="BF20" s="23">
        <f t="shared" si="29"/>
        <v>95.54182657958714</v>
      </c>
      <c r="BG20" s="23">
        <f t="shared" si="29"/>
        <v>95.39279636982417</v>
      </c>
      <c r="BH20" s="23"/>
      <c r="BI20" s="20">
        <v>51914</v>
      </c>
      <c r="BJ20" s="10">
        <f t="shared" si="30"/>
        <v>71.15662441730555</v>
      </c>
      <c r="BK20" s="20">
        <v>3694025</v>
      </c>
      <c r="BL20" s="20">
        <v>3687820</v>
      </c>
      <c r="BM20" s="23">
        <f t="shared" si="31"/>
        <v>1.660596091332792</v>
      </c>
      <c r="BN20" s="23">
        <f t="shared" si="31"/>
        <v>14.2558756173663</v>
      </c>
      <c r="BO20" s="23">
        <f t="shared" si="31"/>
        <v>16.15320422198633</v>
      </c>
      <c r="BP20" s="23">
        <f t="shared" si="31"/>
        <v>16.364639199947746</v>
      </c>
      <c r="BQ20" s="23"/>
      <c r="BR20" s="20">
        <v>45374</v>
      </c>
      <c r="BS20" s="10">
        <f t="shared" si="32"/>
        <v>65.18301229779169</v>
      </c>
      <c r="BT20" s="20">
        <v>2957614</v>
      </c>
      <c r="BU20" s="20">
        <v>2942175</v>
      </c>
      <c r="BV20" s="23">
        <f t="shared" si="33"/>
        <v>-12.597757830257734</v>
      </c>
      <c r="BW20" s="23">
        <f t="shared" si="34"/>
        <v>-8.395018971783955</v>
      </c>
      <c r="BX20" s="23">
        <f t="shared" si="34"/>
        <v>-19.935192642172154</v>
      </c>
      <c r="BY20" s="23">
        <f t="shared" si="34"/>
        <v>-20.21912674696705</v>
      </c>
      <c r="BZ20" s="20">
        <v>45413</v>
      </c>
      <c r="CA20" s="10">
        <f t="shared" si="35"/>
        <v>67.1486358531698</v>
      </c>
      <c r="CB20" s="20">
        <v>3049421</v>
      </c>
      <c r="CC20" s="20">
        <v>3037921</v>
      </c>
      <c r="CD20" s="23">
        <f t="shared" si="36"/>
        <v>0.08595230748886706</v>
      </c>
      <c r="CE20" s="23">
        <f t="shared" si="37"/>
        <v>3.0155457474074012</v>
      </c>
      <c r="CF20" s="23">
        <f t="shared" si="38"/>
        <v>3.1040899860495585</v>
      </c>
      <c r="CG20" s="23">
        <f t="shared" si="39"/>
        <v>3.254259179008727</v>
      </c>
    </row>
    <row r="21" spans="1:85" ht="12">
      <c r="A21" s="1" t="s">
        <v>143</v>
      </c>
      <c r="B21" s="35">
        <v>10646</v>
      </c>
      <c r="C21" s="10">
        <f t="shared" si="18"/>
        <v>40.245913958294196</v>
      </c>
      <c r="D21" s="35">
        <v>428458</v>
      </c>
      <c r="E21" s="35">
        <v>424594</v>
      </c>
      <c r="G21" s="35">
        <v>12336</v>
      </c>
      <c r="H21" s="10">
        <f t="shared" si="19"/>
        <v>39.645995460440986</v>
      </c>
      <c r="I21" s="35">
        <v>489073</v>
      </c>
      <c r="J21" s="35">
        <v>486058</v>
      </c>
      <c r="K21" s="23">
        <f aca="true" t="shared" si="40" ref="K21:N22">G21*100/B21-100</f>
        <v>15.874506857035513</v>
      </c>
      <c r="L21" s="23">
        <f t="shared" si="40"/>
        <v>-1.490632063853468</v>
      </c>
      <c r="M21" s="23">
        <f t="shared" si="40"/>
        <v>14.147244303992451</v>
      </c>
      <c r="N21" s="23">
        <f t="shared" si="40"/>
        <v>14.475946433534148</v>
      </c>
      <c r="O21" s="11"/>
      <c r="P21" s="20">
        <v>19060</v>
      </c>
      <c r="Q21" s="10">
        <f t="shared" si="20"/>
        <v>35.213903462749215</v>
      </c>
      <c r="R21" s="11">
        <v>671177</v>
      </c>
      <c r="S21" s="11">
        <v>661294</v>
      </c>
      <c r="T21" s="23">
        <f aca="true" t="shared" si="41" ref="T21:W22">P21*100/G21-100</f>
        <v>54.50713359273669</v>
      </c>
      <c r="U21" s="23">
        <f t="shared" si="41"/>
        <v>-11.179166889917397</v>
      </c>
      <c r="V21" s="23">
        <f t="shared" si="41"/>
        <v>37.234523271577046</v>
      </c>
      <c r="W21" s="23">
        <f t="shared" si="41"/>
        <v>36.05248756321262</v>
      </c>
      <c r="X21" s="23"/>
      <c r="Y21" s="20">
        <v>21621</v>
      </c>
      <c r="Z21" s="10">
        <f t="shared" si="25"/>
        <v>35.776559826095</v>
      </c>
      <c r="AA21" s="20">
        <v>773525</v>
      </c>
      <c r="AB21" s="20">
        <v>761859</v>
      </c>
      <c r="AC21" s="23">
        <f aca="true" t="shared" si="42" ref="AC21:AF22">Y21*100/P21-100</f>
        <v>13.436516264428121</v>
      </c>
      <c r="AD21" s="23">
        <f t="shared" si="42"/>
        <v>1.597824461411932</v>
      </c>
      <c r="AE21" s="23">
        <f t="shared" si="42"/>
        <v>15.249032669474673</v>
      </c>
      <c r="AF21" s="23">
        <f t="shared" si="42"/>
        <v>15.207305676446481</v>
      </c>
      <c r="AG21" s="23"/>
      <c r="AH21" s="20">
        <v>21621</v>
      </c>
      <c r="AI21" s="10">
        <f aca="true" t="shared" si="43" ref="AI21:AI88">AJ21/AH21</f>
        <v>35.776559826095</v>
      </c>
      <c r="AJ21" s="20">
        <v>773525</v>
      </c>
      <c r="AK21" s="20">
        <v>761859</v>
      </c>
      <c r="AL21" s="23">
        <f aca="true" t="shared" si="44" ref="AL21:AO22">AH21*100/Y21-100</f>
        <v>0</v>
      </c>
      <c r="AM21" s="23">
        <f t="shared" si="44"/>
        <v>0</v>
      </c>
      <c r="AN21" s="23">
        <f t="shared" si="44"/>
        <v>0</v>
      </c>
      <c r="AO21" s="23">
        <f t="shared" si="44"/>
        <v>0</v>
      </c>
      <c r="AP21" s="23"/>
      <c r="AQ21" s="11">
        <v>21389</v>
      </c>
      <c r="AR21" s="10">
        <f t="shared" si="26"/>
        <v>32.22418065360699</v>
      </c>
      <c r="AS21" s="20">
        <v>689243</v>
      </c>
      <c r="AT21" s="20">
        <v>674058</v>
      </c>
      <c r="AU21" s="23">
        <f aca="true" t="shared" si="45" ref="AU21:AW26">AQ21*100/AH21-100</f>
        <v>-1.0730308496369219</v>
      </c>
      <c r="AV21" s="23">
        <f t="shared" si="45"/>
        <v>-9.929348125576198</v>
      </c>
      <c r="AW21" s="23">
        <f t="shared" si="45"/>
        <v>-10.895834006657836</v>
      </c>
      <c r="AX21" s="23">
        <f>AT21*100/AJ21-100</f>
        <v>-12.858925050903338</v>
      </c>
      <c r="AY21" s="23"/>
      <c r="AZ21" s="11">
        <v>35558</v>
      </c>
      <c r="BA21" s="10">
        <f t="shared" si="28"/>
        <v>33.09589965689859</v>
      </c>
      <c r="BB21" s="20">
        <v>1176824</v>
      </c>
      <c r="BC21" s="20">
        <v>1162184</v>
      </c>
      <c r="BD21" s="11">
        <f t="shared" si="29"/>
        <v>66.2443311982795</v>
      </c>
      <c r="BE21" s="23">
        <f>BA21*100/AR21-100</f>
        <v>2.7051704205053824</v>
      </c>
      <c r="BF21" s="23">
        <f>BB21*100/AS21-100</f>
        <v>70.74152367162233</v>
      </c>
      <c r="BG21" s="23">
        <f>BC21*100/AT21-100</f>
        <v>72.41602354693512</v>
      </c>
      <c r="BH21" s="23"/>
      <c r="BI21" s="20">
        <v>37307</v>
      </c>
      <c r="BJ21" s="10">
        <f t="shared" si="30"/>
        <v>36.68483126491007</v>
      </c>
      <c r="BK21" s="20">
        <v>1368601</v>
      </c>
      <c r="BL21" s="20">
        <v>1349878</v>
      </c>
      <c r="BM21" s="23">
        <f t="shared" si="31"/>
        <v>4.918724337701789</v>
      </c>
      <c r="BN21" s="23">
        <f>BJ21*100/BA21-100</f>
        <v>10.844037011283959</v>
      </c>
      <c r="BO21" s="23">
        <f>BK21*100/BB21-100</f>
        <v>16.296149636649147</v>
      </c>
      <c r="BP21" s="23">
        <f>BL21*100/BC21-100</f>
        <v>16.1501104816449</v>
      </c>
      <c r="BQ21" s="23"/>
      <c r="BR21" s="11">
        <v>36955</v>
      </c>
      <c r="BS21" s="10">
        <f t="shared" si="32"/>
        <v>34.76866459207144</v>
      </c>
      <c r="BT21" s="20">
        <v>1284876</v>
      </c>
      <c r="BU21" s="20">
        <v>1266983</v>
      </c>
      <c r="BV21" s="11">
        <f t="shared" si="33"/>
        <v>-0.9435226633071494</v>
      </c>
      <c r="BW21" s="11"/>
      <c r="BX21" s="11"/>
      <c r="BY21" s="11"/>
      <c r="BZ21" s="11">
        <v>24206</v>
      </c>
      <c r="CA21" s="10">
        <f t="shared" si="35"/>
        <v>32.89700900603156</v>
      </c>
      <c r="CB21" s="20">
        <v>796305</v>
      </c>
      <c r="CC21" s="20">
        <v>789728</v>
      </c>
      <c r="CD21" s="23">
        <f t="shared" si="36"/>
        <v>-34.498714652956295</v>
      </c>
      <c r="CE21" s="23">
        <f t="shared" si="37"/>
        <v>-5.3831678840684845</v>
      </c>
      <c r="CF21" s="23">
        <f t="shared" si="38"/>
        <v>-38.0247588094104</v>
      </c>
      <c r="CG21" s="23">
        <f t="shared" si="39"/>
        <v>-37.66861907381551</v>
      </c>
    </row>
    <row r="22" spans="1:85" ht="12">
      <c r="A22" s="1" t="s">
        <v>140</v>
      </c>
      <c r="B22" s="35">
        <v>5299</v>
      </c>
      <c r="C22" s="10">
        <f t="shared" si="18"/>
        <v>12.336667295716174</v>
      </c>
      <c r="D22" s="35">
        <v>65372</v>
      </c>
      <c r="E22" s="35">
        <v>62943</v>
      </c>
      <c r="G22" s="20">
        <v>5265</v>
      </c>
      <c r="H22" s="10">
        <f t="shared" si="19"/>
        <v>12.369420702754036</v>
      </c>
      <c r="I22" s="11">
        <v>65125</v>
      </c>
      <c r="J22" s="11">
        <v>62502</v>
      </c>
      <c r="K22" s="23">
        <f t="shared" si="40"/>
        <v>-0.6416304963200616</v>
      </c>
      <c r="L22" s="23">
        <f t="shared" si="40"/>
        <v>0.26549639584781914</v>
      </c>
      <c r="M22" s="23">
        <f t="shared" si="40"/>
        <v>-0.37783760631462826</v>
      </c>
      <c r="N22" s="23">
        <f t="shared" si="40"/>
        <v>-0.70063390686812</v>
      </c>
      <c r="O22" s="11"/>
      <c r="P22" s="20">
        <v>5929</v>
      </c>
      <c r="Q22" s="10">
        <f t="shared" si="20"/>
        <v>13.299544611232923</v>
      </c>
      <c r="R22" s="11">
        <v>78853</v>
      </c>
      <c r="S22" s="11">
        <v>77077</v>
      </c>
      <c r="T22" s="23">
        <f t="shared" si="41"/>
        <v>12.611585944919284</v>
      </c>
      <c r="U22" s="23">
        <f t="shared" si="41"/>
        <v>7.5195429990653935</v>
      </c>
      <c r="V22" s="23">
        <f t="shared" si="41"/>
        <v>21.07946257197696</v>
      </c>
      <c r="W22" s="23">
        <f t="shared" si="41"/>
        <v>23.31925378387892</v>
      </c>
      <c r="X22" s="23"/>
      <c r="Y22" s="20">
        <v>6813</v>
      </c>
      <c r="Z22" s="10">
        <f t="shared" si="25"/>
        <v>13.789520035226772</v>
      </c>
      <c r="AA22" s="20">
        <v>93948</v>
      </c>
      <c r="AB22" s="20">
        <v>91430</v>
      </c>
      <c r="AC22" s="23">
        <f t="shared" si="42"/>
        <v>14.90976555911621</v>
      </c>
      <c r="AD22" s="23">
        <f t="shared" si="42"/>
        <v>3.6841518887797946</v>
      </c>
      <c r="AE22" s="23">
        <f t="shared" si="42"/>
        <v>19.143215857354818</v>
      </c>
      <c r="AF22" s="23">
        <f t="shared" si="42"/>
        <v>18.621638102157576</v>
      </c>
      <c r="AG22" s="23"/>
      <c r="AH22" s="20">
        <v>5830</v>
      </c>
      <c r="AI22" s="10">
        <f t="shared" si="43"/>
        <v>14.869125214408234</v>
      </c>
      <c r="AJ22" s="20">
        <v>86687</v>
      </c>
      <c r="AK22" s="20">
        <v>84458</v>
      </c>
      <c r="AL22" s="23">
        <f t="shared" si="44"/>
        <v>-14.428298840452072</v>
      </c>
      <c r="AM22" s="23">
        <f t="shared" si="44"/>
        <v>7.8291715478384845</v>
      </c>
      <c r="AN22" s="23">
        <f t="shared" si="44"/>
        <v>-7.728743560267375</v>
      </c>
      <c r="AO22" s="23">
        <f t="shared" si="44"/>
        <v>-7.625505851471075</v>
      </c>
      <c r="AP22" s="23"/>
      <c r="AQ22" s="11">
        <v>7928</v>
      </c>
      <c r="AR22" s="10">
        <f t="shared" si="26"/>
        <v>14.34359233097881</v>
      </c>
      <c r="AS22" s="11">
        <v>113716</v>
      </c>
      <c r="AT22" s="11">
        <v>112186</v>
      </c>
      <c r="AU22" s="23">
        <f t="shared" si="45"/>
        <v>35.98627787307032</v>
      </c>
      <c r="AV22" s="23">
        <f t="shared" si="45"/>
        <v>-3.5343900589402466</v>
      </c>
      <c r="AW22" s="23">
        <f t="shared" si="45"/>
        <v>31.179992386401665</v>
      </c>
      <c r="AX22" s="23">
        <f aca="true" t="shared" si="46" ref="AX22:AX35">AT22*100/AJ22-100</f>
        <v>29.415021860255877</v>
      </c>
      <c r="AY22" s="23"/>
      <c r="AZ22" s="11">
        <v>8259</v>
      </c>
      <c r="BA22" s="10">
        <f t="shared" si="28"/>
        <v>14.805787625620535</v>
      </c>
      <c r="BB22" s="20">
        <v>122281</v>
      </c>
      <c r="BC22" s="20">
        <v>120769</v>
      </c>
      <c r="BD22" s="23">
        <f aca="true" t="shared" si="47" ref="BD22:BF26">AZ22*100/AQ22-100</f>
        <v>4.175075681130167</v>
      </c>
      <c r="BE22" s="23">
        <f t="shared" si="47"/>
        <v>3.2223119841707444</v>
      </c>
      <c r="BF22" s="23">
        <f t="shared" si="47"/>
        <v>7.53192162932217</v>
      </c>
      <c r="BG22" s="23">
        <f aca="true" t="shared" si="48" ref="BG22:BG86">BC22*100/AS22-100</f>
        <v>6.202293432762318</v>
      </c>
      <c r="BH22" s="23"/>
      <c r="BI22" s="20">
        <v>9037</v>
      </c>
      <c r="BJ22" s="10">
        <f t="shared" si="30"/>
        <v>14.738519420161557</v>
      </c>
      <c r="BK22" s="20">
        <v>133192</v>
      </c>
      <c r="BL22" s="20">
        <v>130716</v>
      </c>
      <c r="BM22" s="23">
        <f aca="true" t="shared" si="49" ref="BM22:BO26">BI22*100/AZ22-100</f>
        <v>9.420026637607464</v>
      </c>
      <c r="BN22" s="23">
        <f t="shared" si="49"/>
        <v>-0.4543372305474236</v>
      </c>
      <c r="BO22" s="23">
        <f t="shared" si="49"/>
        <v>8.922890718917898</v>
      </c>
      <c r="BP22" s="23">
        <f aca="true" t="shared" si="50" ref="BP22:BP86">BL22*100/BB22-100</f>
        <v>6.898046303186916</v>
      </c>
      <c r="BQ22" s="23"/>
      <c r="BR22" s="11">
        <v>11167</v>
      </c>
      <c r="BS22" s="10">
        <f t="shared" si="32"/>
        <v>15.393480791618162</v>
      </c>
      <c r="BT22" s="20">
        <v>171899</v>
      </c>
      <c r="BU22" s="20">
        <v>167611</v>
      </c>
      <c r="BV22" s="23">
        <f t="shared" si="33"/>
        <v>23.569768728560362</v>
      </c>
      <c r="BW22" s="23">
        <f aca="true" t="shared" si="51" ref="BW22:BX26">BS22*100/BJ22-100</f>
        <v>4.44387494282941</v>
      </c>
      <c r="BX22" s="23">
        <f t="shared" si="51"/>
        <v>29.06105471800109</v>
      </c>
      <c r="BY22" s="23">
        <f aca="true" t="shared" si="52" ref="BY22:BY85">BU22*100/BK22-100</f>
        <v>25.84164214066911</v>
      </c>
      <c r="BZ22" s="11">
        <v>13940</v>
      </c>
      <c r="CA22" s="10">
        <f t="shared" si="35"/>
        <v>16.309038737446198</v>
      </c>
      <c r="CB22" s="20">
        <v>227348</v>
      </c>
      <c r="CC22" s="20">
        <v>223279</v>
      </c>
      <c r="CD22" s="48"/>
      <c r="CE22" s="23">
        <f t="shared" si="37"/>
        <v>5.947699277518581</v>
      </c>
      <c r="CF22" s="23">
        <f t="shared" si="38"/>
        <v>32.25673215085604</v>
      </c>
      <c r="CG22" s="23">
        <f t="shared" si="39"/>
        <v>33.21261731031973</v>
      </c>
    </row>
    <row r="23" spans="1:85" ht="12">
      <c r="A23" s="1" t="s">
        <v>21</v>
      </c>
      <c r="B23" s="20">
        <v>49972</v>
      </c>
      <c r="C23" s="10">
        <f t="shared" si="18"/>
        <v>19.06883854958777</v>
      </c>
      <c r="D23" s="11">
        <v>952908</v>
      </c>
      <c r="E23" s="11">
        <v>919719</v>
      </c>
      <c r="F23" s="8"/>
      <c r="G23" s="20">
        <v>54310</v>
      </c>
      <c r="H23" s="10">
        <f t="shared" si="19"/>
        <v>19.94693426624931</v>
      </c>
      <c r="I23" s="11">
        <v>1083318</v>
      </c>
      <c r="J23" s="11">
        <v>1064791</v>
      </c>
      <c r="K23" s="23">
        <f aca="true" t="shared" si="53" ref="K23:N26">G23*100/B23-100</f>
        <v>8.680861282318105</v>
      </c>
      <c r="L23" s="23">
        <f t="shared" si="53"/>
        <v>4.604872574583325</v>
      </c>
      <c r="M23" s="23">
        <f t="shared" si="53"/>
        <v>13.68547645732852</v>
      </c>
      <c r="N23" s="23">
        <f t="shared" si="53"/>
        <v>15.773513431819936</v>
      </c>
      <c r="O23" s="23"/>
      <c r="P23" s="20">
        <v>49784</v>
      </c>
      <c r="Q23" s="10">
        <f t="shared" si="20"/>
        <v>19.956773260485296</v>
      </c>
      <c r="R23" s="11">
        <v>993528</v>
      </c>
      <c r="S23" s="11">
        <v>859946</v>
      </c>
      <c r="T23" s="23">
        <f t="shared" si="21"/>
        <v>-8.333640213588652</v>
      </c>
      <c r="U23" s="23">
        <f t="shared" si="21"/>
        <v>0.049325846792569905</v>
      </c>
      <c r="V23" s="23">
        <f t="shared" si="21"/>
        <v>-8.288425005400072</v>
      </c>
      <c r="W23" s="23">
        <f t="shared" si="21"/>
        <v>-19.238047654422317</v>
      </c>
      <c r="X23" s="23"/>
      <c r="Y23" s="20">
        <v>52108</v>
      </c>
      <c r="Z23" s="10">
        <f t="shared" si="25"/>
        <v>20.436171029400477</v>
      </c>
      <c r="AA23" s="20">
        <v>1064888</v>
      </c>
      <c r="AB23" s="20">
        <v>1042414</v>
      </c>
      <c r="AC23" s="23">
        <f t="shared" si="22"/>
        <v>4.668166479190106</v>
      </c>
      <c r="AD23" s="23">
        <f t="shared" si="22"/>
        <v>2.402180766689355</v>
      </c>
      <c r="AE23" s="23">
        <f t="shared" si="22"/>
        <v>7.182485043199591</v>
      </c>
      <c r="AF23" s="23">
        <f t="shared" si="22"/>
        <v>21.21854162935813</v>
      </c>
      <c r="AG23" s="23"/>
      <c r="AH23" s="20">
        <v>43477</v>
      </c>
      <c r="AI23" s="10">
        <f t="shared" si="43"/>
        <v>19.350139154035467</v>
      </c>
      <c r="AJ23" s="20">
        <v>841286</v>
      </c>
      <c r="AK23" s="20">
        <v>824695</v>
      </c>
      <c r="AL23" s="23">
        <f aca="true" t="shared" si="54" ref="AL23:AO26">AH23*100/Y23-100</f>
        <v>-16.563675443310046</v>
      </c>
      <c r="AM23" s="23">
        <f t="shared" si="54"/>
        <v>-5.314262998692811</v>
      </c>
      <c r="AN23" s="23">
        <f t="shared" si="54"/>
        <v>-20.997701166695464</v>
      </c>
      <c r="AO23" s="23">
        <f t="shared" si="54"/>
        <v>-20.886039519806914</v>
      </c>
      <c r="AP23" s="23"/>
      <c r="AQ23" s="20">
        <v>46130</v>
      </c>
      <c r="AR23" s="10">
        <f t="shared" si="26"/>
        <v>21.27205722956861</v>
      </c>
      <c r="AS23" s="11">
        <v>981280</v>
      </c>
      <c r="AT23" s="11">
        <v>959958</v>
      </c>
      <c r="AU23" s="23">
        <f t="shared" si="45"/>
        <v>6.102076960231841</v>
      </c>
      <c r="AV23" s="23">
        <f t="shared" si="45"/>
        <v>9.932321727682904</v>
      </c>
      <c r="AW23" s="23">
        <f t="shared" si="45"/>
        <v>16.640476603675808</v>
      </c>
      <c r="AX23" s="23">
        <f t="shared" si="46"/>
        <v>14.106023397512857</v>
      </c>
      <c r="AY23" s="23"/>
      <c r="AZ23" s="20">
        <v>42584</v>
      </c>
      <c r="BA23" s="10">
        <f t="shared" si="28"/>
        <v>18.738047153860606</v>
      </c>
      <c r="BB23" s="20">
        <v>797941</v>
      </c>
      <c r="BC23" s="20">
        <v>779477</v>
      </c>
      <c r="BD23" s="23">
        <f t="shared" si="47"/>
        <v>-7.686971601994358</v>
      </c>
      <c r="BE23" s="23">
        <f t="shared" si="47"/>
        <v>-11.912388389899945</v>
      </c>
      <c r="BF23" s="23">
        <f t="shared" si="47"/>
        <v>-18.683658079243443</v>
      </c>
      <c r="BG23" s="23">
        <f t="shared" si="48"/>
        <v>-20.56528208054786</v>
      </c>
      <c r="BH23" s="23"/>
      <c r="BI23" s="20">
        <v>41074</v>
      </c>
      <c r="BJ23" s="10">
        <f t="shared" si="30"/>
        <v>18.63490285825583</v>
      </c>
      <c r="BK23" s="20">
        <v>765410</v>
      </c>
      <c r="BL23" s="20">
        <v>747364</v>
      </c>
      <c r="BM23" s="23">
        <f t="shared" si="49"/>
        <v>-3.5459327446928484</v>
      </c>
      <c r="BN23" s="23">
        <f t="shared" si="49"/>
        <v>-0.5504538160131744</v>
      </c>
      <c r="BO23" s="23">
        <f t="shared" si="49"/>
        <v>-4.076867838599597</v>
      </c>
      <c r="BP23" s="23">
        <f t="shared" si="50"/>
        <v>-6.3384385562341095</v>
      </c>
      <c r="BQ23" s="23"/>
      <c r="BR23" s="20">
        <v>42157</v>
      </c>
      <c r="BS23" s="10">
        <f t="shared" si="32"/>
        <v>19.359323481272387</v>
      </c>
      <c r="BT23" s="20">
        <v>816131</v>
      </c>
      <c r="BU23" s="20">
        <v>797720</v>
      </c>
      <c r="BV23" s="23">
        <f t="shared" si="33"/>
        <v>2.6367044845887904</v>
      </c>
      <c r="BW23" s="23">
        <f t="shared" si="51"/>
        <v>3.8874397603613886</v>
      </c>
      <c r="BX23" s="23">
        <f t="shared" si="51"/>
        <v>6.6266445434472985</v>
      </c>
      <c r="BY23" s="23">
        <f t="shared" si="52"/>
        <v>4.221267033354678</v>
      </c>
      <c r="BZ23" s="20">
        <v>50167</v>
      </c>
      <c r="CA23" s="10">
        <f t="shared" si="35"/>
        <v>20.409731496800685</v>
      </c>
      <c r="CB23" s="20">
        <v>1023895</v>
      </c>
      <c r="CC23" s="20">
        <v>1000134</v>
      </c>
      <c r="CD23" s="23">
        <f t="shared" si="36"/>
        <v>19.000403254501038</v>
      </c>
      <c r="CE23" s="23">
        <f t="shared" si="37"/>
        <v>5.425850838973943</v>
      </c>
      <c r="CF23" s="23">
        <f t="shared" si="38"/>
        <v>25.457187632867758</v>
      </c>
      <c r="CG23" s="23">
        <f t="shared" si="39"/>
        <v>25.374066088351796</v>
      </c>
    </row>
    <row r="24" spans="1:85" ht="12">
      <c r="A24" s="1" t="s">
        <v>22</v>
      </c>
      <c r="B24" s="20">
        <v>6923</v>
      </c>
      <c r="C24" s="10">
        <f t="shared" si="18"/>
        <v>16.686552072800808</v>
      </c>
      <c r="D24" s="11">
        <v>115521</v>
      </c>
      <c r="E24" s="11">
        <v>113779</v>
      </c>
      <c r="F24" s="8"/>
      <c r="G24" s="20">
        <v>5988</v>
      </c>
      <c r="H24" s="10">
        <f t="shared" si="19"/>
        <v>20.641115564462257</v>
      </c>
      <c r="I24" s="11">
        <v>123599</v>
      </c>
      <c r="J24" s="11">
        <v>120570</v>
      </c>
      <c r="K24" s="23">
        <f t="shared" si="53"/>
        <v>-13.505705618951325</v>
      </c>
      <c r="L24" s="23">
        <f t="shared" si="53"/>
        <v>23.699104970327653</v>
      </c>
      <c r="M24" s="23">
        <f t="shared" si="53"/>
        <v>6.992667999757614</v>
      </c>
      <c r="N24" s="23">
        <f t="shared" si="53"/>
        <v>5.968588228056149</v>
      </c>
      <c r="O24" s="23"/>
      <c r="P24" s="20">
        <v>6290</v>
      </c>
      <c r="Q24" s="10">
        <f t="shared" si="20"/>
        <v>19.148012718600953</v>
      </c>
      <c r="R24" s="11">
        <v>120441</v>
      </c>
      <c r="S24" s="11">
        <v>118444</v>
      </c>
      <c r="T24" s="23">
        <f t="shared" si="21"/>
        <v>5.043420173680701</v>
      </c>
      <c r="U24" s="23">
        <f t="shared" si="21"/>
        <v>-7.233634447703864</v>
      </c>
      <c r="V24" s="23">
        <f t="shared" si="21"/>
        <v>-2.555036853048975</v>
      </c>
      <c r="W24" s="23">
        <f t="shared" si="21"/>
        <v>-1.7632910342539674</v>
      </c>
      <c r="X24" s="23"/>
      <c r="Y24" s="20">
        <v>7001</v>
      </c>
      <c r="Z24" s="10">
        <f t="shared" si="25"/>
        <v>19.117840308527352</v>
      </c>
      <c r="AA24" s="20">
        <v>133844</v>
      </c>
      <c r="AB24" s="20">
        <v>131812</v>
      </c>
      <c r="AC24" s="23">
        <f t="shared" si="22"/>
        <v>11.30365659777425</v>
      </c>
      <c r="AD24" s="23">
        <f t="shared" si="22"/>
        <v>-0.15757462937284572</v>
      </c>
      <c r="AE24" s="23">
        <f t="shared" si="22"/>
        <v>11.128270273411871</v>
      </c>
      <c r="AF24" s="23">
        <f t="shared" si="22"/>
        <v>11.286346290229986</v>
      </c>
      <c r="AG24" s="23"/>
      <c r="AH24" s="20">
        <v>6235</v>
      </c>
      <c r="AI24" s="10">
        <f t="shared" si="43"/>
        <v>19.247313552526062</v>
      </c>
      <c r="AJ24" s="20">
        <v>120007</v>
      </c>
      <c r="AK24" s="20">
        <v>118366</v>
      </c>
      <c r="AL24" s="23">
        <f t="shared" si="54"/>
        <v>-10.94129410084274</v>
      </c>
      <c r="AM24" s="23">
        <f t="shared" si="54"/>
        <v>0.6772378150944149</v>
      </c>
      <c r="AN24" s="23">
        <f t="shared" si="54"/>
        <v>-10.338154866859924</v>
      </c>
      <c r="AO24" s="23">
        <f t="shared" si="54"/>
        <v>-10.200892179771188</v>
      </c>
      <c r="AP24" s="23"/>
      <c r="AQ24" s="20">
        <v>6154</v>
      </c>
      <c r="AR24" s="10">
        <f t="shared" si="26"/>
        <v>19.383815404614886</v>
      </c>
      <c r="AS24" s="20">
        <v>119288</v>
      </c>
      <c r="AT24" s="20">
        <v>118093</v>
      </c>
      <c r="AU24" s="23">
        <f t="shared" si="45"/>
        <v>-1.2991178829190062</v>
      </c>
      <c r="AV24" s="23">
        <f t="shared" si="45"/>
        <v>0.709199503173835</v>
      </c>
      <c r="AW24" s="23">
        <f t="shared" si="45"/>
        <v>-0.5991317173164958</v>
      </c>
      <c r="AX24" s="23">
        <f t="shared" si="46"/>
        <v>-1.594906963760451</v>
      </c>
      <c r="AY24" s="23"/>
      <c r="AZ24" s="20">
        <v>5312</v>
      </c>
      <c r="BA24" s="10">
        <f t="shared" si="28"/>
        <v>22.639307228915662</v>
      </c>
      <c r="BB24" s="20">
        <v>120260</v>
      </c>
      <c r="BC24" s="20">
        <v>118038</v>
      </c>
      <c r="BD24" s="23">
        <f t="shared" si="47"/>
        <v>-13.682157946051348</v>
      </c>
      <c r="BE24" s="23">
        <f t="shared" si="47"/>
        <v>16.794896960923964</v>
      </c>
      <c r="BF24" s="23">
        <f t="shared" si="47"/>
        <v>0.814834685802424</v>
      </c>
      <c r="BG24" s="23">
        <f t="shared" si="48"/>
        <v>-1.04788411240024</v>
      </c>
      <c r="BH24" s="23"/>
      <c r="BI24" s="20">
        <v>4904</v>
      </c>
      <c r="BJ24" s="10">
        <f t="shared" si="30"/>
        <v>22.745921696574225</v>
      </c>
      <c r="BK24" s="20">
        <v>111546</v>
      </c>
      <c r="BL24" s="20">
        <v>110485</v>
      </c>
      <c r="BM24" s="23">
        <f t="shared" si="49"/>
        <v>-7.680722891566262</v>
      </c>
      <c r="BN24" s="23">
        <f t="shared" si="49"/>
        <v>0.47092636970087653</v>
      </c>
      <c r="BO24" s="23">
        <f t="shared" si="49"/>
        <v>-7.245967071345419</v>
      </c>
      <c r="BP24" s="23">
        <f t="shared" si="50"/>
        <v>-8.128222185265258</v>
      </c>
      <c r="BQ24" s="23"/>
      <c r="BR24" s="20">
        <v>5870</v>
      </c>
      <c r="BS24" s="10">
        <f t="shared" si="32"/>
        <v>21.004088586030665</v>
      </c>
      <c r="BT24" s="20">
        <v>123294</v>
      </c>
      <c r="BU24" s="20">
        <v>122149</v>
      </c>
      <c r="BV24" s="23">
        <f t="shared" si="33"/>
        <v>19.69820554649266</v>
      </c>
      <c r="BW24" s="23">
        <f t="shared" si="51"/>
        <v>-7.6577820577211355</v>
      </c>
      <c r="BX24" s="23">
        <f t="shared" si="51"/>
        <v>10.53197783873918</v>
      </c>
      <c r="BY24" s="23">
        <f t="shared" si="52"/>
        <v>9.505495490649594</v>
      </c>
      <c r="BZ24" s="20">
        <v>5895</v>
      </c>
      <c r="CA24" s="10">
        <f t="shared" si="35"/>
        <v>20.07379134860051</v>
      </c>
      <c r="CB24" s="20">
        <v>118335</v>
      </c>
      <c r="CC24" s="20">
        <v>117023</v>
      </c>
      <c r="CD24" s="23">
        <f t="shared" si="36"/>
        <v>0.42589437819420084</v>
      </c>
      <c r="CE24" s="23">
        <f t="shared" si="37"/>
        <v>-4.429124518399135</v>
      </c>
      <c r="CF24" s="23">
        <f t="shared" si="38"/>
        <v>-4.022093532531997</v>
      </c>
      <c r="CG24" s="23">
        <f t="shared" si="39"/>
        <v>-4.196514093443255</v>
      </c>
    </row>
    <row r="25" spans="1:85" ht="12">
      <c r="A25" s="1" t="s">
        <v>23</v>
      </c>
      <c r="B25" s="20">
        <v>3117</v>
      </c>
      <c r="C25" s="10">
        <f t="shared" si="18"/>
        <v>28.662175168431183</v>
      </c>
      <c r="D25" s="11">
        <v>89340</v>
      </c>
      <c r="E25" s="11">
        <v>88521</v>
      </c>
      <c r="F25" s="8"/>
      <c r="G25" s="20">
        <v>3628</v>
      </c>
      <c r="H25" s="10">
        <f t="shared" si="19"/>
        <v>26.720782800441015</v>
      </c>
      <c r="I25" s="11">
        <v>96943</v>
      </c>
      <c r="J25" s="11">
        <v>96288</v>
      </c>
      <c r="K25" s="23">
        <f t="shared" si="53"/>
        <v>16.393968559512345</v>
      </c>
      <c r="L25" s="23">
        <f t="shared" si="53"/>
        <v>-6.773360209341121</v>
      </c>
      <c r="M25" s="23">
        <f t="shared" si="53"/>
        <v>8.51018580702933</v>
      </c>
      <c r="N25" s="23">
        <f t="shared" si="53"/>
        <v>8.77418917544989</v>
      </c>
      <c r="O25" s="23"/>
      <c r="P25" s="20">
        <v>3229</v>
      </c>
      <c r="Q25" s="10">
        <f t="shared" si="20"/>
        <v>27.041808609476618</v>
      </c>
      <c r="R25" s="11">
        <v>87318</v>
      </c>
      <c r="S25" s="11">
        <v>86319</v>
      </c>
      <c r="T25" s="23">
        <f t="shared" si="21"/>
        <v>-10.997794928335168</v>
      </c>
      <c r="U25" s="23">
        <f t="shared" si="21"/>
        <v>1.2014086991130597</v>
      </c>
      <c r="V25" s="23">
        <f t="shared" si="21"/>
        <v>-9.928514694201752</v>
      </c>
      <c r="W25" s="23">
        <f t="shared" si="21"/>
        <v>-10.353315054835491</v>
      </c>
      <c r="X25" s="23"/>
      <c r="Y25" s="20">
        <v>3821</v>
      </c>
      <c r="Z25" s="10">
        <f t="shared" si="25"/>
        <v>26.664224025124312</v>
      </c>
      <c r="AA25" s="20">
        <v>101884</v>
      </c>
      <c r="AB25" s="20">
        <v>101158</v>
      </c>
      <c r="AC25" s="23">
        <f t="shared" si="22"/>
        <v>18.333849489005885</v>
      </c>
      <c r="AD25" s="23">
        <f t="shared" si="22"/>
        <v>-1.3962993001140518</v>
      </c>
      <c r="AE25" s="23">
        <f t="shared" si="22"/>
        <v>16.68155477679288</v>
      </c>
      <c r="AF25" s="23">
        <f t="shared" si="22"/>
        <v>17.19088497318087</v>
      </c>
      <c r="AG25" s="23"/>
      <c r="AH25" s="20">
        <v>3500</v>
      </c>
      <c r="AI25" s="10">
        <f t="shared" si="43"/>
        <v>23.554285714285715</v>
      </c>
      <c r="AJ25" s="20">
        <v>82440</v>
      </c>
      <c r="AK25" s="20">
        <v>81724</v>
      </c>
      <c r="AL25" s="23">
        <f t="shared" si="54"/>
        <v>-8.40094216173776</v>
      </c>
      <c r="AM25" s="23">
        <f t="shared" si="54"/>
        <v>-11.663337016326679</v>
      </c>
      <c r="AN25" s="23">
        <f t="shared" si="54"/>
        <v>-19.0844489811943</v>
      </c>
      <c r="AO25" s="23">
        <f t="shared" si="54"/>
        <v>-19.21153047707547</v>
      </c>
      <c r="AP25" s="23"/>
      <c r="AQ25" s="20">
        <v>2726</v>
      </c>
      <c r="AR25" s="10">
        <f t="shared" si="26"/>
        <v>23.037417461482026</v>
      </c>
      <c r="AS25" s="20">
        <v>62800</v>
      </c>
      <c r="AT25" s="20">
        <v>60517</v>
      </c>
      <c r="AU25" s="23">
        <f t="shared" si="45"/>
        <v>-22.114285714285714</v>
      </c>
      <c r="AV25" s="23">
        <f t="shared" si="45"/>
        <v>-2.1943703115149304</v>
      </c>
      <c r="AW25" s="23">
        <f t="shared" si="45"/>
        <v>-23.823386705482775</v>
      </c>
      <c r="AX25" s="23">
        <f t="shared" si="46"/>
        <v>-26.59267345948568</v>
      </c>
      <c r="AY25" s="23"/>
      <c r="AZ25" s="20">
        <v>3315</v>
      </c>
      <c r="BA25" s="10">
        <f t="shared" si="28"/>
        <v>18.458823529411763</v>
      </c>
      <c r="BB25" s="20">
        <v>61191</v>
      </c>
      <c r="BC25" s="20">
        <v>60379</v>
      </c>
      <c r="BD25" s="23">
        <f t="shared" si="47"/>
        <v>21.606749816581072</v>
      </c>
      <c r="BE25" s="23">
        <f t="shared" si="47"/>
        <v>-19.87459722742601</v>
      </c>
      <c r="BF25" s="23">
        <f t="shared" si="47"/>
        <v>-2.5621019108280194</v>
      </c>
      <c r="BG25" s="23">
        <f t="shared" si="48"/>
        <v>-3.855095541401269</v>
      </c>
      <c r="BH25" s="23"/>
      <c r="BI25" s="20">
        <v>4161</v>
      </c>
      <c r="BJ25" s="10">
        <f t="shared" si="30"/>
        <v>22.409516943042536</v>
      </c>
      <c r="BK25" s="20">
        <v>93246</v>
      </c>
      <c r="BL25" s="20">
        <v>92470</v>
      </c>
      <c r="BM25" s="23">
        <f t="shared" si="49"/>
        <v>25.52036199095022</v>
      </c>
      <c r="BN25" s="23">
        <f t="shared" si="49"/>
        <v>21.402736785125285</v>
      </c>
      <c r="BO25" s="23">
        <f t="shared" si="49"/>
        <v>52.38515467960974</v>
      </c>
      <c r="BP25" s="23">
        <f t="shared" si="50"/>
        <v>51.11699432923143</v>
      </c>
      <c r="BQ25" s="23"/>
      <c r="BR25" s="20">
        <v>4755</v>
      </c>
      <c r="BS25" s="10">
        <f t="shared" si="32"/>
        <v>22.060988433228182</v>
      </c>
      <c r="BT25" s="20">
        <v>104900</v>
      </c>
      <c r="BU25" s="20">
        <v>104169</v>
      </c>
      <c r="BV25" s="23">
        <f t="shared" si="33"/>
        <v>14.275414563806777</v>
      </c>
      <c r="BW25" s="23">
        <f t="shared" si="51"/>
        <v>-1.555270069855581</v>
      </c>
      <c r="BX25" s="23">
        <f t="shared" si="51"/>
        <v>12.498123243892493</v>
      </c>
      <c r="BY25" s="23">
        <f t="shared" si="52"/>
        <v>11.714175406987962</v>
      </c>
      <c r="BZ25" s="20">
        <v>6105</v>
      </c>
      <c r="CA25" s="10">
        <f t="shared" si="35"/>
        <v>28.624897624897624</v>
      </c>
      <c r="CB25" s="20">
        <v>174755</v>
      </c>
      <c r="CC25" s="20">
        <v>174161</v>
      </c>
      <c r="CD25" s="23">
        <f t="shared" si="36"/>
        <v>28.39116719242901</v>
      </c>
      <c r="CE25" s="23">
        <f t="shared" si="37"/>
        <v>29.753468261571214</v>
      </c>
      <c r="CF25" s="23">
        <f t="shared" si="38"/>
        <v>66.59199237368924</v>
      </c>
      <c r="CG25" s="23">
        <f t="shared" si="39"/>
        <v>67.19081492574566</v>
      </c>
    </row>
    <row r="26" spans="1:85" ht="12">
      <c r="A26" s="1" t="s">
        <v>24</v>
      </c>
      <c r="B26" s="20">
        <v>9840</v>
      </c>
      <c r="C26" s="10">
        <f t="shared" si="18"/>
        <v>33.74979674796748</v>
      </c>
      <c r="D26" s="11">
        <v>332098</v>
      </c>
      <c r="E26" s="11">
        <v>328975</v>
      </c>
      <c r="F26" s="8"/>
      <c r="G26" s="20">
        <v>7057</v>
      </c>
      <c r="H26" s="10">
        <f t="shared" si="19"/>
        <v>26.441405696471588</v>
      </c>
      <c r="I26" s="11">
        <v>186597</v>
      </c>
      <c r="J26" s="11">
        <v>184816</v>
      </c>
      <c r="K26" s="23">
        <f t="shared" si="53"/>
        <v>-28.28252032520325</v>
      </c>
      <c r="L26" s="23">
        <f t="shared" si="53"/>
        <v>-21.654622414684695</v>
      </c>
      <c r="M26" s="23">
        <f t="shared" si="53"/>
        <v>-43.812669754108725</v>
      </c>
      <c r="N26" s="23">
        <f t="shared" si="53"/>
        <v>-43.820655064974545</v>
      </c>
      <c r="O26" s="23"/>
      <c r="P26" s="20">
        <v>7522</v>
      </c>
      <c r="Q26" s="10">
        <f t="shared" si="20"/>
        <v>26.78609412390322</v>
      </c>
      <c r="R26" s="11">
        <v>201485</v>
      </c>
      <c r="S26" s="11">
        <v>200243</v>
      </c>
      <c r="T26" s="23">
        <f t="shared" si="21"/>
        <v>6.5892022105710595</v>
      </c>
      <c r="U26" s="23">
        <f t="shared" si="21"/>
        <v>1.303593429897063</v>
      </c>
      <c r="V26" s="23">
        <f t="shared" si="21"/>
        <v>7.978692047567748</v>
      </c>
      <c r="W26" s="23">
        <f t="shared" si="21"/>
        <v>8.347221019825128</v>
      </c>
      <c r="X26" s="23"/>
      <c r="Y26" s="20">
        <v>7871</v>
      </c>
      <c r="Z26" s="10">
        <f t="shared" si="25"/>
        <v>26.630415449117013</v>
      </c>
      <c r="AA26" s="20">
        <v>209608</v>
      </c>
      <c r="AB26" s="20">
        <v>207566</v>
      </c>
      <c r="AC26" s="23">
        <f t="shared" si="22"/>
        <v>4.639723477798455</v>
      </c>
      <c r="AD26" s="23">
        <f t="shared" si="22"/>
        <v>-0.5811921442002301</v>
      </c>
      <c r="AE26" s="23">
        <f t="shared" si="22"/>
        <v>4.031565625232645</v>
      </c>
      <c r="AF26" s="23">
        <f t="shared" si="22"/>
        <v>3.6570566761384953</v>
      </c>
      <c r="AG26" s="23"/>
      <c r="AH26" s="20">
        <v>7270</v>
      </c>
      <c r="AI26" s="10">
        <f>AJ26/AH26</f>
        <v>26.554470426409903</v>
      </c>
      <c r="AJ26" s="20">
        <v>193051</v>
      </c>
      <c r="AK26" s="20">
        <v>191230</v>
      </c>
      <c r="AL26" s="23">
        <f t="shared" si="54"/>
        <v>-7.635624444162119</v>
      </c>
      <c r="AM26" s="23">
        <f>AI26*100/Z26-100</f>
        <v>-0.28518151679691073</v>
      </c>
      <c r="AN26" s="23">
        <f t="shared" si="54"/>
        <v>-7.899030571352242</v>
      </c>
      <c r="AO26" s="23">
        <f t="shared" si="54"/>
        <v>-7.870267770251388</v>
      </c>
      <c r="AP26" s="23"/>
      <c r="AQ26" s="20">
        <v>7135</v>
      </c>
      <c r="AR26" s="10">
        <f t="shared" si="26"/>
        <v>25.3781359495445</v>
      </c>
      <c r="AS26" s="20">
        <v>181073</v>
      </c>
      <c r="AT26" s="20">
        <v>179357</v>
      </c>
      <c r="AU26" s="23">
        <f t="shared" si="45"/>
        <v>-1.8569463548830782</v>
      </c>
      <c r="AV26" s="23">
        <f>AR26*100/AI26-100</f>
        <v>-4.429892436097973</v>
      </c>
      <c r="AW26" s="23">
        <f t="shared" si="45"/>
        <v>-6.204578064863682</v>
      </c>
      <c r="AX26" s="23">
        <f t="shared" si="46"/>
        <v>-7.093462349327382</v>
      </c>
      <c r="AY26" s="23"/>
      <c r="AZ26" s="20">
        <v>6143</v>
      </c>
      <c r="BA26" s="10">
        <f t="shared" si="28"/>
        <v>25.325085463128765</v>
      </c>
      <c r="BB26" s="20">
        <v>155572</v>
      </c>
      <c r="BC26" s="20">
        <v>154070</v>
      </c>
      <c r="BD26" s="23">
        <f t="shared" si="47"/>
        <v>-13.903293622985288</v>
      </c>
      <c r="BE26" s="23">
        <f t="shared" si="47"/>
        <v>-0.20904012225801694</v>
      </c>
      <c r="BF26" s="23">
        <f t="shared" si="47"/>
        <v>-14.083270283255928</v>
      </c>
      <c r="BG26" s="23">
        <f t="shared" si="48"/>
        <v>-14.912769987794974</v>
      </c>
      <c r="BH26" s="23"/>
      <c r="BI26" s="20">
        <v>5809</v>
      </c>
      <c r="BJ26" s="10">
        <f t="shared" si="30"/>
        <v>24.07488380099845</v>
      </c>
      <c r="BK26" s="20">
        <v>139851</v>
      </c>
      <c r="BL26" s="20">
        <v>137972</v>
      </c>
      <c r="BM26" s="23">
        <f t="shared" si="49"/>
        <v>-5.437082858538176</v>
      </c>
      <c r="BN26" s="23">
        <f t="shared" si="49"/>
        <v>-4.93661379327034</v>
      </c>
      <c r="BO26" s="23">
        <f t="shared" si="49"/>
        <v>-10.10528886946237</v>
      </c>
      <c r="BP26" s="23">
        <f t="shared" si="50"/>
        <v>-11.313089759082615</v>
      </c>
      <c r="BQ26" s="23"/>
      <c r="BR26" s="20">
        <v>6426</v>
      </c>
      <c r="BS26" s="10">
        <f t="shared" si="32"/>
        <v>24.905228758169933</v>
      </c>
      <c r="BT26" s="20">
        <v>160041</v>
      </c>
      <c r="BU26" s="20">
        <v>158235</v>
      </c>
      <c r="BV26" s="23">
        <f t="shared" si="33"/>
        <v>10.621449474952655</v>
      </c>
      <c r="BW26" s="23">
        <f t="shared" si="51"/>
        <v>3.449009199940761</v>
      </c>
      <c r="BX26" s="23">
        <f t="shared" si="51"/>
        <v>14.436793444451595</v>
      </c>
      <c r="BY26" s="23">
        <f t="shared" si="52"/>
        <v>13.145419053135129</v>
      </c>
      <c r="BZ26" s="20">
        <v>8008</v>
      </c>
      <c r="CA26" s="10">
        <f t="shared" si="35"/>
        <v>27.83291708291708</v>
      </c>
      <c r="CB26" s="20">
        <v>222886</v>
      </c>
      <c r="CC26" s="20">
        <v>220944</v>
      </c>
      <c r="CD26" s="23">
        <f t="shared" si="36"/>
        <v>24.61873638344227</v>
      </c>
      <c r="CE26" s="23">
        <f t="shared" si="37"/>
        <v>11.755315934557515</v>
      </c>
      <c r="CF26" s="23">
        <f t="shared" si="38"/>
        <v>39.26806255896926</v>
      </c>
      <c r="CG26" s="23">
        <f t="shared" si="39"/>
        <v>39.63029671058868</v>
      </c>
    </row>
    <row r="27" spans="1:85" ht="12">
      <c r="A27" s="1" t="s">
        <v>153</v>
      </c>
      <c r="B27" s="20">
        <v>1806</v>
      </c>
      <c r="C27" s="10">
        <f t="shared" si="18"/>
        <v>7.488925802879291</v>
      </c>
      <c r="D27" s="11">
        <v>13525</v>
      </c>
      <c r="E27" s="11">
        <v>13248</v>
      </c>
      <c r="F27" s="48"/>
      <c r="G27" s="20">
        <v>1816</v>
      </c>
      <c r="H27" s="10">
        <f t="shared" si="19"/>
        <v>7.379955947136564</v>
      </c>
      <c r="I27" s="11">
        <v>13402</v>
      </c>
      <c r="J27" s="11">
        <v>13221</v>
      </c>
      <c r="K27" s="23">
        <f>G27*100/B27-100</f>
        <v>0.5537098560354394</v>
      </c>
      <c r="L27" s="23">
        <f>H27*100/C27-100</f>
        <v>-1.455079922154269</v>
      </c>
      <c r="M27" s="23">
        <f>I27*100/D27-100</f>
        <v>-0.9094269870609963</v>
      </c>
      <c r="N27" s="23">
        <f>J27*100/E27-100</f>
        <v>-0.20380434782609314</v>
      </c>
      <c r="O27" s="23"/>
      <c r="P27" s="20">
        <v>1868</v>
      </c>
      <c r="Q27" s="10">
        <f t="shared" si="20"/>
        <v>7.950749464668094</v>
      </c>
      <c r="R27" s="11">
        <v>14852</v>
      </c>
      <c r="S27" s="11">
        <v>14574</v>
      </c>
      <c r="T27" s="23">
        <f t="shared" si="21"/>
        <v>2.8634361233480234</v>
      </c>
      <c r="U27" s="23"/>
      <c r="V27" s="23">
        <f t="shared" si="21"/>
        <v>10.819280704372488</v>
      </c>
      <c r="W27" s="23">
        <f t="shared" si="21"/>
        <v>10.233719083276611</v>
      </c>
      <c r="X27" s="23"/>
      <c r="Y27" s="20">
        <v>2458</v>
      </c>
      <c r="Z27" s="10">
        <f t="shared" si="25"/>
        <v>7.030512611879577</v>
      </c>
      <c r="AA27" s="20">
        <v>17281</v>
      </c>
      <c r="AB27" s="20">
        <v>16965</v>
      </c>
      <c r="AC27" s="23">
        <f>Y27*100/P27-100</f>
        <v>31.584582441113497</v>
      </c>
      <c r="AD27" s="23">
        <f>Z27*100/Q27-100</f>
        <v>-11.574215196666785</v>
      </c>
      <c r="AE27" s="23">
        <f>AA27*100/R27-100</f>
        <v>16.354699703743606</v>
      </c>
      <c r="AF27" s="23">
        <f>AB27*100/S27-100</f>
        <v>16.40592836558254</v>
      </c>
      <c r="AG27" s="23"/>
      <c r="AH27" s="20">
        <v>2156</v>
      </c>
      <c r="AI27" s="10">
        <f>AJ27/AH27</f>
        <v>9.134508348794062</v>
      </c>
      <c r="AJ27" s="20">
        <v>19694</v>
      </c>
      <c r="AK27" s="20">
        <v>19440</v>
      </c>
      <c r="AL27" s="23">
        <f>AH27*100/Y27-100</f>
        <v>-12.286411716842963</v>
      </c>
      <c r="AM27" s="23">
        <f>AI27*100/Z27-100</f>
        <v>29.926633420148164</v>
      </c>
      <c r="AN27" s="23">
        <f>AJ27*100/AA27-100</f>
        <v>13.963312308315494</v>
      </c>
      <c r="AO27" s="23">
        <f>AK27*100/AB27-100</f>
        <v>14.58885941644563</v>
      </c>
      <c r="AP27" s="23"/>
      <c r="AQ27" s="20">
        <v>2629</v>
      </c>
      <c r="AR27" s="10">
        <f t="shared" si="26"/>
        <v>7.109547356409281</v>
      </c>
      <c r="AS27" s="20">
        <v>18691</v>
      </c>
      <c r="AT27" s="20">
        <v>18420</v>
      </c>
      <c r="AU27" s="23">
        <f>AQ27*100/AH27-100</f>
        <v>21.93877551020408</v>
      </c>
      <c r="AV27" s="23">
        <f>AR27*100/AI27-100</f>
        <v>-22.168253780753474</v>
      </c>
      <c r="AW27" s="23">
        <f>AS27*100/AJ27-100</f>
        <v>-5.092921702041224</v>
      </c>
      <c r="AX27" s="23">
        <f>AT27*100/AJ27-100</f>
        <v>-6.468975322433224</v>
      </c>
      <c r="AY27" s="23"/>
      <c r="AZ27" s="20">
        <v>2643</v>
      </c>
      <c r="BA27" s="10">
        <f t="shared" si="28"/>
        <v>7.944003026863413</v>
      </c>
      <c r="BB27" s="20">
        <v>20996</v>
      </c>
      <c r="BC27" s="20">
        <v>20403</v>
      </c>
      <c r="BD27" s="23">
        <f>AZ27*100/AQ27-100</f>
        <v>0.5325218714339996</v>
      </c>
      <c r="BE27" s="23">
        <f>BA27*100/AR27-100</f>
        <v>11.737113892375547</v>
      </c>
      <c r="BF27" s="23">
        <f>BB27*100/AS27-100</f>
        <v>12.33213846236157</v>
      </c>
      <c r="BG27" s="23">
        <f>BC27*100/AS27-100</f>
        <v>9.159488523888498</v>
      </c>
      <c r="BH27" s="23"/>
      <c r="BI27" s="20">
        <v>2463</v>
      </c>
      <c r="BJ27" s="10">
        <f t="shared" si="30"/>
        <v>7.76857490864799</v>
      </c>
      <c r="BK27" s="20">
        <v>19134</v>
      </c>
      <c r="BL27" s="20">
        <v>18729</v>
      </c>
      <c r="BM27" s="23">
        <f>BI27*100/AZ27-100</f>
        <v>-6.810442678774123</v>
      </c>
      <c r="BN27" s="23">
        <f>BJ27*100/BA27-100</f>
        <v>-2.208308803788171</v>
      </c>
      <c r="BO27" s="23">
        <f>BK27*100/BB27-100</f>
        <v>-8.868355877309966</v>
      </c>
      <c r="BP27" s="23">
        <f>BL27*100/BB27-100</f>
        <v>-10.797294722804338</v>
      </c>
      <c r="BQ27" s="23"/>
      <c r="BR27" s="20">
        <v>3099</v>
      </c>
      <c r="BS27" s="10">
        <f t="shared" si="32"/>
        <v>8.17134559535334</v>
      </c>
      <c r="BT27" s="20">
        <v>25323</v>
      </c>
      <c r="BU27" s="20">
        <v>24841</v>
      </c>
      <c r="BV27" s="23">
        <f>BR27*100/BI27-100</f>
        <v>25.822168087697932</v>
      </c>
      <c r="BW27" s="23">
        <f>BS27*100/BJ27-100</f>
        <v>5.184614828866302</v>
      </c>
      <c r="BX27" s="23">
        <f>BT27*100/BK27-100</f>
        <v>32.34556287237379</v>
      </c>
      <c r="BY27" s="23">
        <f>BU27*100/BK27-100</f>
        <v>29.826486881990178</v>
      </c>
      <c r="BZ27" s="20">
        <v>3215</v>
      </c>
      <c r="CA27" s="10">
        <f t="shared" si="35"/>
        <v>9.226749611197512</v>
      </c>
      <c r="CB27" s="20">
        <v>29664</v>
      </c>
      <c r="CC27" s="20">
        <v>28760</v>
      </c>
      <c r="CD27" s="23">
        <f>BZ27*100/BR27-100</f>
        <v>3.743142949338491</v>
      </c>
      <c r="CE27" s="23">
        <f>CA27*100/BS27-100</f>
        <v>12.915914564234441</v>
      </c>
      <c r="CF27" s="23">
        <f>CB27*100/BT27-100</f>
        <v>17.14251865892666</v>
      </c>
      <c r="CG27" s="23">
        <f>CC27*100/BU27-100</f>
        <v>15.776337506541608</v>
      </c>
    </row>
    <row r="28" spans="1:85" ht="12">
      <c r="A28" s="1" t="s">
        <v>25</v>
      </c>
      <c r="B28" s="35" t="s">
        <v>1</v>
      </c>
      <c r="C28" s="35" t="s">
        <v>1</v>
      </c>
      <c r="D28" s="35" t="s">
        <v>1</v>
      </c>
      <c r="E28" s="35" t="s">
        <v>1</v>
      </c>
      <c r="F28" s="6"/>
      <c r="G28" s="35" t="s">
        <v>1</v>
      </c>
      <c r="H28" s="35" t="s">
        <v>1</v>
      </c>
      <c r="I28" s="35" t="s">
        <v>1</v>
      </c>
      <c r="J28" s="35" t="s">
        <v>1</v>
      </c>
      <c r="K28" s="23" t="s">
        <v>1</v>
      </c>
      <c r="L28" s="23" t="s">
        <v>1</v>
      </c>
      <c r="M28" s="23" t="s">
        <v>1</v>
      </c>
      <c r="N28" s="23" t="s">
        <v>1</v>
      </c>
      <c r="O28" s="23"/>
      <c r="P28" s="20"/>
      <c r="Q28" s="10" t="e">
        <f t="shared" si="20"/>
        <v>#DIV/0!</v>
      </c>
      <c r="R28" s="11"/>
      <c r="S28" s="11"/>
      <c r="T28" s="23" t="s">
        <v>1</v>
      </c>
      <c r="U28" s="23" t="s">
        <v>1</v>
      </c>
      <c r="V28" s="23" t="s">
        <v>1</v>
      </c>
      <c r="W28" s="23" t="s">
        <v>1</v>
      </c>
      <c r="X28" s="23"/>
      <c r="Y28" s="20"/>
      <c r="Z28" s="10" t="e">
        <f t="shared" si="25"/>
        <v>#DIV/0!</v>
      </c>
      <c r="AA28" s="20"/>
      <c r="AB28" s="20"/>
      <c r="AC28" s="23" t="s">
        <v>1</v>
      </c>
      <c r="AD28" s="23" t="s">
        <v>1</v>
      </c>
      <c r="AE28" s="23" t="s">
        <v>1</v>
      </c>
      <c r="AF28" s="23" t="s">
        <v>1</v>
      </c>
      <c r="AG28" s="23"/>
      <c r="AH28" s="20"/>
      <c r="AI28" s="10" t="e">
        <f t="shared" si="43"/>
        <v>#DIV/0!</v>
      </c>
      <c r="AJ28" s="20"/>
      <c r="AK28" s="20"/>
      <c r="AL28" s="23" t="s">
        <v>1</v>
      </c>
      <c r="AM28" s="23" t="s">
        <v>1</v>
      </c>
      <c r="AN28" s="23" t="s">
        <v>1</v>
      </c>
      <c r="AO28" s="23" t="s">
        <v>1</v>
      </c>
      <c r="AP28" s="23"/>
      <c r="AQ28" s="20" t="s">
        <v>1</v>
      </c>
      <c r="AR28" s="10" t="s">
        <v>1</v>
      </c>
      <c r="AS28" s="20" t="s">
        <v>1</v>
      </c>
      <c r="AT28" s="20" t="s">
        <v>1</v>
      </c>
      <c r="AU28" s="23" t="s">
        <v>1</v>
      </c>
      <c r="AV28" s="23" t="s">
        <v>1</v>
      </c>
      <c r="AW28" s="23" t="e">
        <f>AS28*100/AI28-100</f>
        <v>#VALUE!</v>
      </c>
      <c r="AX28" s="23" t="e">
        <f t="shared" si="46"/>
        <v>#VALUE!</v>
      </c>
      <c r="AY28" s="23"/>
      <c r="AZ28" s="20" t="s">
        <v>1</v>
      </c>
      <c r="BA28" s="10" t="s">
        <v>1</v>
      </c>
      <c r="BB28" s="20" t="s">
        <v>1</v>
      </c>
      <c r="BC28" s="20" t="s">
        <v>1</v>
      </c>
      <c r="BD28" s="23" t="s">
        <v>1</v>
      </c>
      <c r="BE28" s="23" t="s">
        <v>1</v>
      </c>
      <c r="BF28" s="23" t="e">
        <f>BB28*100/AR28-100</f>
        <v>#VALUE!</v>
      </c>
      <c r="BG28" s="23" t="e">
        <f t="shared" si="48"/>
        <v>#VALUE!</v>
      </c>
      <c r="BH28" s="23"/>
      <c r="BI28" s="20" t="s">
        <v>1</v>
      </c>
      <c r="BJ28" s="10" t="s">
        <v>1</v>
      </c>
      <c r="BK28" s="20" t="s">
        <v>1</v>
      </c>
      <c r="BL28" s="20" t="s">
        <v>1</v>
      </c>
      <c r="BM28" s="23" t="s">
        <v>1</v>
      </c>
      <c r="BN28" s="23" t="s">
        <v>1</v>
      </c>
      <c r="BO28" s="23" t="e">
        <f>BK28*100/BA28-100</f>
        <v>#VALUE!</v>
      </c>
      <c r="BP28" s="23" t="e">
        <f t="shared" si="50"/>
        <v>#VALUE!</v>
      </c>
      <c r="BQ28" s="23"/>
      <c r="BR28" s="20" t="s">
        <v>1</v>
      </c>
      <c r="BS28" s="10" t="s">
        <v>1</v>
      </c>
      <c r="BT28" s="20" t="s">
        <v>1</v>
      </c>
      <c r="BU28" s="20" t="s">
        <v>1</v>
      </c>
      <c r="BV28" s="23" t="s">
        <v>1</v>
      </c>
      <c r="BW28" s="23" t="s">
        <v>1</v>
      </c>
      <c r="BX28" s="23" t="e">
        <f>BT28*100/BJ28-100</f>
        <v>#VALUE!</v>
      </c>
      <c r="BY28" s="23" t="e">
        <f t="shared" si="52"/>
        <v>#VALUE!</v>
      </c>
      <c r="BZ28" s="20" t="s">
        <v>1</v>
      </c>
      <c r="CA28" s="10" t="s">
        <v>1</v>
      </c>
      <c r="CB28" s="20" t="s">
        <v>1</v>
      </c>
      <c r="CC28" s="20" t="s">
        <v>1</v>
      </c>
      <c r="CD28" s="20" t="s">
        <v>1</v>
      </c>
      <c r="CE28" s="20" t="s">
        <v>1</v>
      </c>
      <c r="CF28" s="20" t="s">
        <v>1</v>
      </c>
      <c r="CG28" s="20" t="s">
        <v>1</v>
      </c>
    </row>
    <row r="29" spans="1:85" ht="12">
      <c r="A29" s="1" t="s">
        <v>26</v>
      </c>
      <c r="B29" s="20">
        <v>50534</v>
      </c>
      <c r="C29" s="10">
        <f t="shared" si="18"/>
        <v>283.3735306922072</v>
      </c>
      <c r="D29" s="11">
        <v>14319998</v>
      </c>
      <c r="E29" s="11">
        <v>14058827</v>
      </c>
      <c r="F29" s="8"/>
      <c r="G29" s="20">
        <v>50847</v>
      </c>
      <c r="H29" s="10">
        <f t="shared" si="19"/>
        <v>269.72126182468975</v>
      </c>
      <c r="I29" s="11">
        <v>13714517</v>
      </c>
      <c r="J29" s="11">
        <v>13299434</v>
      </c>
      <c r="K29" s="23">
        <f>G29*100/B29-100</f>
        <v>0.6193849685360391</v>
      </c>
      <c r="L29" s="23">
        <f>H29*100/C29-100</f>
        <v>-4.817764324765463</v>
      </c>
      <c r="M29" s="23">
        <f>I29*100/D29-100</f>
        <v>-4.228219864276511</v>
      </c>
      <c r="N29" s="23">
        <f>J29*100/E29-100</f>
        <v>-5.401538833929749</v>
      </c>
      <c r="O29" s="23"/>
      <c r="P29" s="20">
        <v>49664</v>
      </c>
      <c r="Q29" s="10">
        <f t="shared" si="20"/>
        <v>284.9919861469072</v>
      </c>
      <c r="R29" s="11">
        <v>14153842</v>
      </c>
      <c r="S29" s="11">
        <v>13408894</v>
      </c>
      <c r="T29" s="23">
        <f t="shared" si="21"/>
        <v>-2.326587605955126</v>
      </c>
      <c r="U29" s="23">
        <f t="shared" si="21"/>
        <v>5.66166872381865</v>
      </c>
      <c r="V29" s="23">
        <f t="shared" si="21"/>
        <v>3.2033574350449214</v>
      </c>
      <c r="W29" s="23">
        <f t="shared" si="21"/>
        <v>0.8230425445173069</v>
      </c>
      <c r="X29" s="23"/>
      <c r="Y29" s="20">
        <v>44290</v>
      </c>
      <c r="Z29" s="10">
        <f t="shared" si="25"/>
        <v>277.3128923007451</v>
      </c>
      <c r="AA29" s="20">
        <v>12282188</v>
      </c>
      <c r="AB29" s="20">
        <v>12065695</v>
      </c>
      <c r="AC29" s="23">
        <f t="shared" si="22"/>
        <v>-10.820715206185568</v>
      </c>
      <c r="AD29" s="23">
        <f t="shared" si="22"/>
        <v>-2.694494659300247</v>
      </c>
      <c r="AE29" s="23">
        <f t="shared" si="22"/>
        <v>-13.223646272157055</v>
      </c>
      <c r="AF29" s="23">
        <f t="shared" si="22"/>
        <v>-10.017224388528987</v>
      </c>
      <c r="AG29" s="23"/>
      <c r="AH29" s="20">
        <v>43390</v>
      </c>
      <c r="AI29" s="10">
        <f t="shared" si="43"/>
        <v>278.63786586771147</v>
      </c>
      <c r="AJ29" s="20">
        <v>12090097</v>
      </c>
      <c r="AK29" s="20">
        <v>11914182</v>
      </c>
      <c r="AL29" s="23">
        <f aca="true" t="shared" si="55" ref="AL29:AO92">AH29*100/Y29-100</f>
        <v>-2.0320614134116113</v>
      </c>
      <c r="AM29" s="23">
        <f t="shared" si="55"/>
        <v>0.47779010776370967</v>
      </c>
      <c r="AN29" s="23">
        <f t="shared" si="55"/>
        <v>-1.5639802940648622</v>
      </c>
      <c r="AO29" s="23">
        <f t="shared" si="55"/>
        <v>-1.2557337144690024</v>
      </c>
      <c r="AP29" s="23"/>
      <c r="AQ29" s="20">
        <v>43347</v>
      </c>
      <c r="AR29" s="10">
        <f>AS29/AQ29</f>
        <v>279.61729762151936</v>
      </c>
      <c r="AS29" s="20">
        <v>12120571</v>
      </c>
      <c r="AT29" s="20">
        <v>11892412</v>
      </c>
      <c r="AU29" s="23">
        <f aca="true" t="shared" si="56" ref="AU29:AU34">AQ29*100/AH29-100</f>
        <v>-0.09910117538603913</v>
      </c>
      <c r="AV29" s="23">
        <f aca="true" t="shared" si="57" ref="AV29:AV34">AR29*100/AI29-100</f>
        <v>0.3515070540602352</v>
      </c>
      <c r="AW29" s="23">
        <f aca="true" t="shared" si="58" ref="AW29:AW34">AS29*100/AJ29-100</f>
        <v>0.25205753105205986</v>
      </c>
      <c r="AX29" s="23">
        <f t="shared" si="46"/>
        <v>-1.6350985438743777</v>
      </c>
      <c r="AY29" s="23"/>
      <c r="AZ29" s="20">
        <v>33996</v>
      </c>
      <c r="BA29" s="10">
        <f>BB29/AZ29</f>
        <v>283.4718790445935</v>
      </c>
      <c r="BB29" s="20">
        <v>9636910</v>
      </c>
      <c r="BC29" s="20">
        <v>9417399</v>
      </c>
      <c r="BD29" s="23">
        <f aca="true" t="shared" si="59" ref="BD29:BD92">AZ29*100/AQ29-100</f>
        <v>-21.572427157588763</v>
      </c>
      <c r="BE29" s="23">
        <f aca="true" t="shared" si="60" ref="BE29:BE92">BA29*100/AR29-100</f>
        <v>1.3785203761934497</v>
      </c>
      <c r="BF29" s="23">
        <f aca="true" t="shared" si="61" ref="BF29:BF92">BB29*100/AS29-100</f>
        <v>-20.491287085402163</v>
      </c>
      <c r="BG29" s="23">
        <f t="shared" si="48"/>
        <v>-22.302348626974748</v>
      </c>
      <c r="BH29" s="23"/>
      <c r="BI29" s="20">
        <v>37358</v>
      </c>
      <c r="BJ29" s="10">
        <f>BK29/BI29</f>
        <v>294.3612880775202</v>
      </c>
      <c r="BK29" s="20">
        <v>10996749</v>
      </c>
      <c r="BL29" s="20">
        <v>10475779</v>
      </c>
      <c r="BM29" s="23">
        <f aca="true" t="shared" si="62" ref="BM29:BM92">BI29*100/AZ29-100</f>
        <v>9.889398752794449</v>
      </c>
      <c r="BN29" s="23">
        <f aca="true" t="shared" si="63" ref="BN29:BN92">BJ29*100/BA29-100</f>
        <v>3.841442427950213</v>
      </c>
      <c r="BO29" s="23">
        <f aca="true" t="shared" si="64" ref="BO29:BO92">BK29*100/BB29-100</f>
        <v>14.110736740303693</v>
      </c>
      <c r="BP29" s="23">
        <f t="shared" si="50"/>
        <v>8.704750796676521</v>
      </c>
      <c r="BQ29" s="23"/>
      <c r="BR29" s="20">
        <v>35601</v>
      </c>
      <c r="BS29" s="10">
        <f>BT29/BR29</f>
        <v>294.3044015617539</v>
      </c>
      <c r="BT29" s="20">
        <v>10477531</v>
      </c>
      <c r="BU29" s="20">
        <v>10338856</v>
      </c>
      <c r="BV29" s="23">
        <f aca="true" t="shared" si="65" ref="BV29:BV92">BR29*100/BI29-100</f>
        <v>-4.703142566518551</v>
      </c>
      <c r="BW29" s="23">
        <f aca="true" t="shared" si="66" ref="BW29:BW92">BS29*100/BJ29-100</f>
        <v>-0.019325406590610328</v>
      </c>
      <c r="BX29" s="23">
        <f aca="true" t="shared" si="67" ref="BX29:BX92">BT29*100/BK29-100</f>
        <v>-4.721559071685647</v>
      </c>
      <c r="BY29" s="23">
        <f t="shared" si="52"/>
        <v>-5.982613588797932</v>
      </c>
      <c r="BZ29" s="20">
        <v>34765</v>
      </c>
      <c r="CA29" s="10">
        <f>CB29/BZ29</f>
        <v>311.5390191284338</v>
      </c>
      <c r="CB29" s="20">
        <v>10830654</v>
      </c>
      <c r="CC29" s="20">
        <v>10743612</v>
      </c>
      <c r="CD29" s="23">
        <f aca="true" t="shared" si="68" ref="CD29:CD93">BZ29*100/BR29-100</f>
        <v>-2.3482486447009876</v>
      </c>
      <c r="CE29" s="23">
        <f aca="true" t="shared" si="69" ref="CE29:CE92">CA29*100/BS29-100</f>
        <v>5.856051583062566</v>
      </c>
      <c r="CF29" s="23">
        <f aca="true" t="shared" si="70" ref="CF29:CF92">CB29*100/BT29-100</f>
        <v>3.3702882864293144</v>
      </c>
      <c r="CG29" s="23">
        <f aca="true" t="shared" si="71" ref="CG29:CG92">CC29*100/BU29-100</f>
        <v>3.914901223114043</v>
      </c>
    </row>
    <row r="30" spans="1:85" ht="12">
      <c r="A30" s="1" t="s">
        <v>27</v>
      </c>
      <c r="B30" s="20">
        <v>18979</v>
      </c>
      <c r="C30" s="10">
        <f t="shared" si="18"/>
        <v>205.56341219242321</v>
      </c>
      <c r="D30" s="10">
        <v>3901388</v>
      </c>
      <c r="E30" s="11">
        <v>3757648</v>
      </c>
      <c r="F30" s="8"/>
      <c r="G30" s="20">
        <v>19731</v>
      </c>
      <c r="H30" s="10">
        <f t="shared" si="19"/>
        <v>215.54062135725508</v>
      </c>
      <c r="I30" s="11">
        <v>4252832</v>
      </c>
      <c r="J30" s="11">
        <v>3998849</v>
      </c>
      <c r="K30" s="11" t="s">
        <v>1</v>
      </c>
      <c r="L30" s="11" t="s">
        <v>1</v>
      </c>
      <c r="M30" s="11" t="s">
        <v>1</v>
      </c>
      <c r="N30" s="11" t="s">
        <v>1</v>
      </c>
      <c r="O30" s="11"/>
      <c r="P30" s="20">
        <v>20930</v>
      </c>
      <c r="Q30" s="10">
        <f t="shared" si="20"/>
        <v>204.3977066411849</v>
      </c>
      <c r="R30" s="11">
        <v>4278044</v>
      </c>
      <c r="S30" s="11">
        <v>4123282</v>
      </c>
      <c r="T30" s="23">
        <f t="shared" si="21"/>
        <v>6.076732046018961</v>
      </c>
      <c r="U30" s="23">
        <f t="shared" si="21"/>
        <v>-5.169751597589112</v>
      </c>
      <c r="V30" s="23">
        <f t="shared" si="21"/>
        <v>0.5928284963995765</v>
      </c>
      <c r="W30" s="23">
        <f t="shared" si="21"/>
        <v>3.1117203975443886</v>
      </c>
      <c r="X30" s="23"/>
      <c r="Y30" s="20">
        <v>18110</v>
      </c>
      <c r="Z30" s="10">
        <f t="shared" si="25"/>
        <v>203.66891220320264</v>
      </c>
      <c r="AA30" s="20">
        <v>3688444</v>
      </c>
      <c r="AB30" s="20">
        <v>3514600</v>
      </c>
      <c r="AC30" s="23">
        <f t="shared" si="22"/>
        <v>-13.473483038700437</v>
      </c>
      <c r="AD30" s="23">
        <f t="shared" si="22"/>
        <v>-0.3565570524045256</v>
      </c>
      <c r="AE30" s="23">
        <f t="shared" si="22"/>
        <v>-13.781999437125933</v>
      </c>
      <c r="AF30" s="23">
        <f t="shared" si="22"/>
        <v>-14.762075453485835</v>
      </c>
      <c r="AG30" s="23"/>
      <c r="AH30" s="20">
        <v>18512</v>
      </c>
      <c r="AI30" s="10">
        <f t="shared" si="43"/>
        <v>207.91086862575628</v>
      </c>
      <c r="AJ30" s="20">
        <v>3848846</v>
      </c>
      <c r="AK30" s="20">
        <v>3660710</v>
      </c>
      <c r="AL30" s="23">
        <f t="shared" si="55"/>
        <v>2.219768083931527</v>
      </c>
      <c r="AM30" s="23">
        <f t="shared" si="55"/>
        <v>2.082770697140745</v>
      </c>
      <c r="AN30" s="23">
        <f t="shared" si="55"/>
        <v>4.348771460268878</v>
      </c>
      <c r="AO30" s="23">
        <f t="shared" si="55"/>
        <v>4.157229841233715</v>
      </c>
      <c r="AP30" s="23"/>
      <c r="AQ30" s="20">
        <v>15051</v>
      </c>
      <c r="AR30" s="10">
        <f>AS30/AQ30</f>
        <v>208.62793169889045</v>
      </c>
      <c r="AS30" s="20">
        <v>3140059</v>
      </c>
      <c r="AT30" s="20">
        <v>2970508</v>
      </c>
      <c r="AU30" s="23">
        <f t="shared" si="56"/>
        <v>-18.695980985306832</v>
      </c>
      <c r="AV30" s="23">
        <f t="shared" si="57"/>
        <v>0.3448896528949206</v>
      </c>
      <c r="AW30" s="23">
        <f t="shared" si="58"/>
        <v>-18.415571836337435</v>
      </c>
      <c r="AX30" s="23">
        <f t="shared" si="46"/>
        <v>-22.820814342792616</v>
      </c>
      <c r="AY30" s="23"/>
      <c r="AZ30" s="20">
        <v>16392</v>
      </c>
      <c r="BA30" s="10">
        <f>BB30/AZ30</f>
        <v>207.8718887262079</v>
      </c>
      <c r="BB30" s="20">
        <v>3407436</v>
      </c>
      <c r="BC30" s="20">
        <v>3304711</v>
      </c>
      <c r="BD30" s="23">
        <f t="shared" si="59"/>
        <v>8.909706996212876</v>
      </c>
      <c r="BE30" s="23">
        <f t="shared" si="60"/>
        <v>-0.36238818384765636</v>
      </c>
      <c r="BF30" s="23">
        <f t="shared" si="61"/>
        <v>8.515031086995492</v>
      </c>
      <c r="BG30" s="23">
        <f t="shared" si="48"/>
        <v>5.2435957413539</v>
      </c>
      <c r="BH30" s="23"/>
      <c r="BI30" s="20">
        <v>14991</v>
      </c>
      <c r="BJ30" s="10">
        <f>BK30/BI30</f>
        <v>218.19905276499233</v>
      </c>
      <c r="BK30" s="20">
        <v>3271022</v>
      </c>
      <c r="BL30" s="20">
        <v>3178621</v>
      </c>
      <c r="BM30" s="23">
        <f t="shared" si="62"/>
        <v>-8.54685212298682</v>
      </c>
      <c r="BN30" s="23">
        <f t="shared" si="63"/>
        <v>4.968042625709018</v>
      </c>
      <c r="BO30" s="23">
        <f t="shared" si="64"/>
        <v>-4.003420753904109</v>
      </c>
      <c r="BP30" s="23">
        <f t="shared" si="50"/>
        <v>-6.715166477081297</v>
      </c>
      <c r="BQ30" s="23"/>
      <c r="BR30" s="20">
        <v>14815</v>
      </c>
      <c r="BS30" s="10">
        <f>BT30/BR30</f>
        <v>224.08754640566994</v>
      </c>
      <c r="BT30" s="20">
        <v>3319857</v>
      </c>
      <c r="BU30" s="20">
        <v>3215231</v>
      </c>
      <c r="BV30" s="23">
        <f t="shared" si="65"/>
        <v>-1.1740377559869302</v>
      </c>
      <c r="BW30" s="23">
        <f t="shared" si="66"/>
        <v>2.6986797449664977</v>
      </c>
      <c r="BX30" s="23">
        <f t="shared" si="67"/>
        <v>1.492958469860497</v>
      </c>
      <c r="BY30" s="23">
        <f t="shared" si="52"/>
        <v>-1.7056137195041856</v>
      </c>
      <c r="BZ30" s="20">
        <v>14723</v>
      </c>
      <c r="CA30" s="10">
        <f>CB30/BZ30</f>
        <v>232.11702777966448</v>
      </c>
      <c r="CB30" s="20">
        <v>3417459</v>
      </c>
      <c r="CC30" s="20">
        <v>3326699</v>
      </c>
      <c r="CD30" s="48"/>
      <c r="CE30" s="23">
        <f t="shared" si="69"/>
        <v>3.5831894733938583</v>
      </c>
      <c r="CF30" s="23">
        <f t="shared" si="70"/>
        <v>2.9399459073086547</v>
      </c>
      <c r="CG30" s="23">
        <f t="shared" si="71"/>
        <v>3.4668737642800806</v>
      </c>
    </row>
    <row r="31" spans="1:85" ht="12">
      <c r="A31" s="1" t="s">
        <v>28</v>
      </c>
      <c r="B31" s="20">
        <v>3141</v>
      </c>
      <c r="C31" s="10">
        <f t="shared" si="18"/>
        <v>93.84495383635785</v>
      </c>
      <c r="D31" s="11">
        <v>294767</v>
      </c>
      <c r="E31" s="11">
        <v>288373</v>
      </c>
      <c r="F31" s="8"/>
      <c r="G31" s="20">
        <v>2937</v>
      </c>
      <c r="H31" s="10">
        <f t="shared" si="19"/>
        <v>93.31460674157303</v>
      </c>
      <c r="I31" s="11">
        <v>274065</v>
      </c>
      <c r="J31" s="11">
        <v>269585</v>
      </c>
      <c r="K31" s="23">
        <f aca="true" t="shared" si="72" ref="K31:N34">G31*100/B31-100</f>
        <v>-6.49474689589303</v>
      </c>
      <c r="L31" s="23">
        <f t="shared" si="72"/>
        <v>-0.5651311797857659</v>
      </c>
      <c r="M31" s="23">
        <f t="shared" si="72"/>
        <v>-7.023174235921928</v>
      </c>
      <c r="N31" s="23">
        <f t="shared" si="72"/>
        <v>-6.515173057116996</v>
      </c>
      <c r="O31" s="23"/>
      <c r="P31" s="20">
        <v>2954</v>
      </c>
      <c r="Q31" s="10">
        <f t="shared" si="20"/>
        <v>91.74102911306703</v>
      </c>
      <c r="R31" s="11">
        <v>271003</v>
      </c>
      <c r="S31" s="11">
        <v>264033</v>
      </c>
      <c r="T31" s="23">
        <f t="shared" si="21"/>
        <v>0.5788219271365307</v>
      </c>
      <c r="U31" s="23">
        <f t="shared" si="21"/>
        <v>-1.6863143761232209</v>
      </c>
      <c r="V31" s="23">
        <f t="shared" si="21"/>
        <v>-1.1172532063561533</v>
      </c>
      <c r="W31" s="23">
        <f t="shared" si="21"/>
        <v>-2.05946176530594</v>
      </c>
      <c r="X31" s="23"/>
      <c r="Y31" s="20">
        <v>2966</v>
      </c>
      <c r="Z31" s="10">
        <f t="shared" si="25"/>
        <v>91.69959541469993</v>
      </c>
      <c r="AA31" s="20">
        <v>271981</v>
      </c>
      <c r="AB31" s="20">
        <v>265009</v>
      </c>
      <c r="AC31" s="23">
        <f t="shared" si="22"/>
        <v>0.4062288422477991</v>
      </c>
      <c r="AD31" s="23">
        <f t="shared" si="22"/>
        <v>-0.04516376017107859</v>
      </c>
      <c r="AE31" s="23">
        <f t="shared" si="22"/>
        <v>0.3608816138566766</v>
      </c>
      <c r="AF31" s="23">
        <f t="shared" si="22"/>
        <v>0.3696507633515438</v>
      </c>
      <c r="AG31" s="23"/>
      <c r="AH31" s="20">
        <v>3124</v>
      </c>
      <c r="AI31" s="10">
        <f t="shared" si="43"/>
        <v>97.42061459667093</v>
      </c>
      <c r="AJ31" s="20">
        <v>304342</v>
      </c>
      <c r="AK31" s="20">
        <v>300863</v>
      </c>
      <c r="AL31" s="23">
        <f t="shared" si="55"/>
        <v>5.327039784221171</v>
      </c>
      <c r="AM31" s="23">
        <f t="shared" si="55"/>
        <v>6.238870690866634</v>
      </c>
      <c r="AN31" s="23">
        <f t="shared" si="55"/>
        <v>11.898257598876398</v>
      </c>
      <c r="AO31" s="23">
        <f t="shared" si="55"/>
        <v>13.529351833333962</v>
      </c>
      <c r="AP31" s="23"/>
      <c r="AQ31" s="20">
        <v>2980</v>
      </c>
      <c r="AR31" s="10">
        <f>AS31/AQ31</f>
        <v>92.05838926174496</v>
      </c>
      <c r="AS31" s="20">
        <v>274334</v>
      </c>
      <c r="AT31" s="20">
        <v>271039</v>
      </c>
      <c r="AU31" s="23">
        <f t="shared" si="56"/>
        <v>-4.609475032010238</v>
      </c>
      <c r="AV31" s="23">
        <f t="shared" si="57"/>
        <v>-5.504199862755954</v>
      </c>
      <c r="AW31" s="23">
        <f t="shared" si="58"/>
        <v>-9.859960176380525</v>
      </c>
      <c r="AX31" s="23">
        <f t="shared" si="46"/>
        <v>-10.942623758797666</v>
      </c>
      <c r="AY31" s="23"/>
      <c r="AZ31" s="20">
        <v>3133</v>
      </c>
      <c r="BA31" s="10">
        <f>BB31/AZ31</f>
        <v>92.83881263964251</v>
      </c>
      <c r="BB31" s="20">
        <v>290864</v>
      </c>
      <c r="BC31" s="20">
        <v>284050</v>
      </c>
      <c r="BD31" s="45"/>
      <c r="BE31" s="23">
        <f t="shared" si="60"/>
        <v>0.8477482434312549</v>
      </c>
      <c r="BF31" s="23">
        <f t="shared" si="61"/>
        <v>6.025501760627563</v>
      </c>
      <c r="BG31" s="23">
        <f t="shared" si="48"/>
        <v>3.541668185496505</v>
      </c>
      <c r="BH31" s="23"/>
      <c r="BI31" s="20">
        <v>3182</v>
      </c>
      <c r="BJ31" s="10">
        <f>BK31/BI31</f>
        <v>93.742614707731</v>
      </c>
      <c r="BK31" s="20">
        <v>298289</v>
      </c>
      <c r="BL31" s="20">
        <v>292475</v>
      </c>
      <c r="BM31" s="23">
        <f t="shared" si="62"/>
        <v>1.5639961698052929</v>
      </c>
      <c r="BN31" s="23">
        <f t="shared" si="63"/>
        <v>0.9735174787258671</v>
      </c>
      <c r="BO31" s="23">
        <f t="shared" si="64"/>
        <v>2.55273942461082</v>
      </c>
      <c r="BP31" s="23">
        <f t="shared" si="50"/>
        <v>0.5538670994004065</v>
      </c>
      <c r="BQ31" s="23"/>
      <c r="BR31" s="20">
        <v>3044</v>
      </c>
      <c r="BS31" s="10">
        <f>BT31/BR31</f>
        <v>91.0946123521682</v>
      </c>
      <c r="BT31" s="20">
        <v>277292</v>
      </c>
      <c r="BU31" s="20">
        <v>271229</v>
      </c>
      <c r="BV31" s="23">
        <f t="shared" si="65"/>
        <v>-4.3368950345694515</v>
      </c>
      <c r="BW31" s="23">
        <f t="shared" si="66"/>
        <v>-2.8247583703726207</v>
      </c>
      <c r="BX31" s="23">
        <f t="shared" si="67"/>
        <v>-7.039146599438794</v>
      </c>
      <c r="BY31" s="23">
        <f t="shared" si="52"/>
        <v>-9.071739152298605</v>
      </c>
      <c r="BZ31" s="20">
        <v>3303</v>
      </c>
      <c r="CA31" s="10">
        <f>CB31/BZ31</f>
        <v>92.16560702391764</v>
      </c>
      <c r="CB31" s="20">
        <v>304423</v>
      </c>
      <c r="CC31" s="20">
        <v>295681</v>
      </c>
      <c r="CD31" s="23">
        <f t="shared" si="68"/>
        <v>8.508541392904078</v>
      </c>
      <c r="CE31" s="23">
        <f t="shared" si="69"/>
        <v>1.1756948562545233</v>
      </c>
      <c r="CF31" s="23">
        <f t="shared" si="70"/>
        <v>9.784270732657276</v>
      </c>
      <c r="CG31" s="23">
        <f t="shared" si="71"/>
        <v>9.015260167607451</v>
      </c>
    </row>
    <row r="32" spans="1:85" ht="12">
      <c r="A32" s="1" t="s">
        <v>29</v>
      </c>
      <c r="B32" s="20">
        <v>5419</v>
      </c>
      <c r="C32" s="10">
        <f t="shared" si="18"/>
        <v>64.93947222734822</v>
      </c>
      <c r="D32" s="11">
        <v>351907</v>
      </c>
      <c r="E32" s="11">
        <v>342333</v>
      </c>
      <c r="F32" s="8"/>
      <c r="G32" s="20">
        <v>5272</v>
      </c>
      <c r="H32" s="10">
        <f t="shared" si="19"/>
        <v>64.93911229135053</v>
      </c>
      <c r="I32" s="11">
        <v>342359</v>
      </c>
      <c r="J32" s="11">
        <v>336537</v>
      </c>
      <c r="K32" s="23">
        <f t="shared" si="72"/>
        <v>-2.7126776157962667</v>
      </c>
      <c r="L32" s="23">
        <f t="shared" si="72"/>
        <v>-0.0005542638172784109</v>
      </c>
      <c r="M32" s="23">
        <f t="shared" si="72"/>
        <v>-2.713216844223041</v>
      </c>
      <c r="N32" s="23">
        <f t="shared" si="72"/>
        <v>-1.69308830875201</v>
      </c>
      <c r="O32" s="23"/>
      <c r="P32" s="20">
        <v>5474</v>
      </c>
      <c r="Q32" s="10">
        <f t="shared" si="20"/>
        <v>62.51333576909025</v>
      </c>
      <c r="R32" s="11">
        <v>342198</v>
      </c>
      <c r="S32" s="11">
        <v>336639</v>
      </c>
      <c r="T32" s="23">
        <f t="shared" si="21"/>
        <v>3.8315629742033366</v>
      </c>
      <c r="U32" s="23">
        <f t="shared" si="21"/>
        <v>-3.735463015535217</v>
      </c>
      <c r="V32" s="23">
        <f t="shared" si="21"/>
        <v>-0.04702665915019111</v>
      </c>
      <c r="W32" s="23">
        <f t="shared" si="21"/>
        <v>0.030308703054942043</v>
      </c>
      <c r="X32" s="23"/>
      <c r="Y32" s="20">
        <v>5231</v>
      </c>
      <c r="Z32" s="10">
        <f t="shared" si="25"/>
        <v>65.04568916077231</v>
      </c>
      <c r="AA32" s="20">
        <v>340254</v>
      </c>
      <c r="AB32" s="20">
        <v>330945</v>
      </c>
      <c r="AC32" s="23">
        <f t="shared" si="22"/>
        <v>-4.439166971136274</v>
      </c>
      <c r="AD32" s="23">
        <f t="shared" si="22"/>
        <v>4.050901076589454</v>
      </c>
      <c r="AE32" s="23">
        <f t="shared" si="22"/>
        <v>-0.5680921571721598</v>
      </c>
      <c r="AF32" s="23">
        <f t="shared" si="22"/>
        <v>-1.6914261270975715</v>
      </c>
      <c r="AG32" s="23"/>
      <c r="AH32" s="20">
        <v>5226</v>
      </c>
      <c r="AI32" s="10">
        <f t="shared" si="43"/>
        <v>64.82472254114045</v>
      </c>
      <c r="AJ32" s="20">
        <v>338774</v>
      </c>
      <c r="AK32" s="20">
        <v>330228</v>
      </c>
      <c r="AL32" s="23">
        <f t="shared" si="55"/>
        <v>-0.09558401835212749</v>
      </c>
      <c r="AM32" s="23">
        <f t="shared" si="55"/>
        <v>-0.33970986007344095</v>
      </c>
      <c r="AN32" s="23">
        <f t="shared" si="55"/>
        <v>-0.4349691700905822</v>
      </c>
      <c r="AO32" s="23">
        <f t="shared" si="55"/>
        <v>-0.21665231382857542</v>
      </c>
      <c r="AP32" s="23"/>
      <c r="AQ32" s="20">
        <v>4881</v>
      </c>
      <c r="AR32" s="10">
        <f>AS32/AQ32</f>
        <v>63.649252202417536</v>
      </c>
      <c r="AS32" s="20">
        <v>310672</v>
      </c>
      <c r="AT32" s="20">
        <v>299135</v>
      </c>
      <c r="AU32" s="23">
        <f t="shared" si="56"/>
        <v>-6.601607347875998</v>
      </c>
      <c r="AV32" s="23">
        <f t="shared" si="57"/>
        <v>-1.8133056226764523</v>
      </c>
      <c r="AW32" s="23">
        <f t="shared" si="58"/>
        <v>-8.295205653326406</v>
      </c>
      <c r="AX32" s="23">
        <f t="shared" si="46"/>
        <v>-11.700720834538657</v>
      </c>
      <c r="AY32" s="23"/>
      <c r="AZ32" s="20">
        <v>4416</v>
      </c>
      <c r="BA32" s="10">
        <f>BB32/AZ32</f>
        <v>60.21082427536232</v>
      </c>
      <c r="BB32" s="20">
        <v>265891</v>
      </c>
      <c r="BC32" s="20">
        <v>254055</v>
      </c>
      <c r="BD32" s="23">
        <f t="shared" si="59"/>
        <v>-9.526736324523668</v>
      </c>
      <c r="BE32" s="23">
        <f t="shared" si="60"/>
        <v>-5.402149763080203</v>
      </c>
      <c r="BF32" s="23">
        <f t="shared" si="61"/>
        <v>-14.414237523819338</v>
      </c>
      <c r="BG32" s="23">
        <f t="shared" si="48"/>
        <v>-18.224043364062425</v>
      </c>
      <c r="BH32" s="23"/>
      <c r="BI32" s="20">
        <v>5165</v>
      </c>
      <c r="BJ32" s="10">
        <f>BK32/BI32</f>
        <v>63.544240077444336</v>
      </c>
      <c r="BK32" s="20">
        <v>328206</v>
      </c>
      <c r="BL32" s="20">
        <v>317844</v>
      </c>
      <c r="BM32" s="23">
        <f t="shared" si="62"/>
        <v>16.961050724637687</v>
      </c>
      <c r="BN32" s="23">
        <f t="shared" si="63"/>
        <v>5.536240106658056</v>
      </c>
      <c r="BO32" s="23">
        <f t="shared" si="64"/>
        <v>23.43629532402376</v>
      </c>
      <c r="BP32" s="23">
        <f t="shared" si="50"/>
        <v>19.53920967614549</v>
      </c>
      <c r="BQ32" s="23"/>
      <c r="BR32" s="20">
        <v>5242</v>
      </c>
      <c r="BS32" s="10">
        <f>BT32/BR32</f>
        <v>62.64574589851202</v>
      </c>
      <c r="BT32" s="20">
        <v>328389</v>
      </c>
      <c r="BU32" s="20">
        <v>318774</v>
      </c>
      <c r="BV32" s="23">
        <f t="shared" si="65"/>
        <v>1.4908034849951548</v>
      </c>
      <c r="BW32" s="23">
        <f t="shared" si="66"/>
        <v>-1.4139663608177244</v>
      </c>
      <c r="BX32" s="23">
        <f t="shared" si="67"/>
        <v>0.05575766439370966</v>
      </c>
      <c r="BY32" s="23">
        <f t="shared" si="52"/>
        <v>-2.8738048664558278</v>
      </c>
      <c r="BZ32" s="20">
        <v>5321</v>
      </c>
      <c r="CA32" s="10">
        <f>CB32/BZ32</f>
        <v>61.09190001879346</v>
      </c>
      <c r="CB32" s="20">
        <v>325070</v>
      </c>
      <c r="CC32" s="20">
        <v>315736</v>
      </c>
      <c r="CD32" s="23">
        <f t="shared" si="68"/>
        <v>1.5070583746661583</v>
      </c>
      <c r="CE32" s="23">
        <f t="shared" si="69"/>
        <v>-2.4803693489991048</v>
      </c>
      <c r="CF32" s="23">
        <f t="shared" si="70"/>
        <v>-1.010691588329692</v>
      </c>
      <c r="CG32" s="23">
        <f t="shared" si="71"/>
        <v>-0.953026281942698</v>
      </c>
    </row>
    <row r="33" spans="1:85" ht="12">
      <c r="A33" s="1" t="s">
        <v>30</v>
      </c>
      <c r="B33" s="22">
        <v>1169.25</v>
      </c>
      <c r="C33" s="10">
        <f t="shared" si="18"/>
        <v>97.15715202052598</v>
      </c>
      <c r="D33" s="11">
        <v>113601</v>
      </c>
      <c r="E33" s="11">
        <v>109688</v>
      </c>
      <c r="F33" s="8"/>
      <c r="G33" s="22">
        <v>342.78</v>
      </c>
      <c r="H33" s="10">
        <f t="shared" si="19"/>
        <v>112.0485442557909</v>
      </c>
      <c r="I33" s="11">
        <v>38408</v>
      </c>
      <c r="J33" s="11">
        <v>37094</v>
      </c>
      <c r="K33" s="23">
        <f t="shared" si="72"/>
        <v>-70.68377164849262</v>
      </c>
      <c r="L33" s="23">
        <f t="shared" si="72"/>
        <v>15.327118925963234</v>
      </c>
      <c r="M33" s="23">
        <f t="shared" si="72"/>
        <v>-66.19043846445014</v>
      </c>
      <c r="N33" s="23">
        <f t="shared" si="72"/>
        <v>-66.1822624170374</v>
      </c>
      <c r="O33" s="23"/>
      <c r="P33" s="22">
        <v>1124.97</v>
      </c>
      <c r="Q33" s="10">
        <f t="shared" si="20"/>
        <v>100.54757015742642</v>
      </c>
      <c r="R33" s="11">
        <v>113113</v>
      </c>
      <c r="S33" s="11">
        <v>109128</v>
      </c>
      <c r="T33" s="23">
        <f t="shared" si="21"/>
        <v>228.1900927708735</v>
      </c>
      <c r="U33" s="23">
        <f t="shared" si="21"/>
        <v>-10.264278018739262</v>
      </c>
      <c r="V33" s="23">
        <f t="shared" si="21"/>
        <v>194.50374921891273</v>
      </c>
      <c r="W33" s="23">
        <f t="shared" si="21"/>
        <v>194.19313096457648</v>
      </c>
      <c r="X33" s="23"/>
      <c r="Y33" s="22">
        <v>1128.03</v>
      </c>
      <c r="Z33" s="10">
        <f t="shared" si="25"/>
        <v>101.01149792115459</v>
      </c>
      <c r="AA33" s="20">
        <v>113944</v>
      </c>
      <c r="AB33" s="20">
        <v>108787</v>
      </c>
      <c r="AC33" s="23">
        <f t="shared" si="22"/>
        <v>0.2720072535267519</v>
      </c>
      <c r="AD33" s="23">
        <f t="shared" si="22"/>
        <v>0.46140126807817694</v>
      </c>
      <c r="AE33" s="23">
        <f t="shared" si="22"/>
        <v>0.7346635665219736</v>
      </c>
      <c r="AF33" s="23">
        <f t="shared" si="22"/>
        <v>-0.31247709112234645</v>
      </c>
      <c r="AG33" s="23"/>
      <c r="AH33" s="22">
        <v>1120.86</v>
      </c>
      <c r="AI33" s="10">
        <f t="shared" si="43"/>
        <v>103.74176971254217</v>
      </c>
      <c r="AJ33" s="20">
        <v>116280</v>
      </c>
      <c r="AK33" s="20">
        <v>111082</v>
      </c>
      <c r="AL33" s="23">
        <f t="shared" si="55"/>
        <v>-0.6356213930480692</v>
      </c>
      <c r="AM33" s="23">
        <f t="shared" si="55"/>
        <v>2.702931693497632</v>
      </c>
      <c r="AN33" s="23">
        <f t="shared" si="55"/>
        <v>2.0501298883662145</v>
      </c>
      <c r="AO33" s="23">
        <f t="shared" si="55"/>
        <v>2.1096270694108625</v>
      </c>
      <c r="AP33" s="23"/>
      <c r="AQ33" s="20">
        <v>1129.13</v>
      </c>
      <c r="AR33" s="10">
        <f>AS33/AQ33</f>
        <v>102.76938882148201</v>
      </c>
      <c r="AS33" s="20">
        <v>116040</v>
      </c>
      <c r="AT33" s="20">
        <v>110912</v>
      </c>
      <c r="AU33" s="23">
        <f t="shared" si="56"/>
        <v>0.7378263119390738</v>
      </c>
      <c r="AV33" s="23">
        <f t="shared" si="57"/>
        <v>-0.9373089487045831</v>
      </c>
      <c r="AW33" s="23">
        <f t="shared" si="58"/>
        <v>-0.2063983488132095</v>
      </c>
      <c r="AX33" s="23">
        <f t="shared" si="46"/>
        <v>-4.616443068455453</v>
      </c>
      <c r="AY33" s="23"/>
      <c r="AZ33" s="22">
        <v>1144.25</v>
      </c>
      <c r="BA33" s="10">
        <f>BB33/AZ33</f>
        <v>106.76163425824777</v>
      </c>
      <c r="BB33" s="20">
        <v>122162</v>
      </c>
      <c r="BC33" s="20">
        <v>117829</v>
      </c>
      <c r="BD33" s="23">
        <f t="shared" si="59"/>
        <v>1.3390840735787606</v>
      </c>
      <c r="BE33" s="23">
        <f t="shared" si="60"/>
        <v>3.8846639865695494</v>
      </c>
      <c r="BF33" s="23">
        <f t="shared" si="61"/>
        <v>5.275766976904521</v>
      </c>
      <c r="BG33" s="23">
        <f t="shared" si="48"/>
        <v>1.5417097552568038</v>
      </c>
      <c r="BH33" s="23"/>
      <c r="BI33" s="22">
        <v>1147.7</v>
      </c>
      <c r="BJ33" s="10">
        <f>BK33/BI33</f>
        <v>102.91539600941012</v>
      </c>
      <c r="BK33" s="20">
        <v>118116</v>
      </c>
      <c r="BL33" s="20">
        <v>115731</v>
      </c>
      <c r="BM33" s="23">
        <f t="shared" si="62"/>
        <v>0.30150753768843686</v>
      </c>
      <c r="BN33" s="23">
        <f t="shared" si="63"/>
        <v>-3.6026408508639918</v>
      </c>
      <c r="BO33" s="23">
        <f t="shared" si="64"/>
        <v>-3.311995546896739</v>
      </c>
      <c r="BP33" s="23">
        <f t="shared" si="50"/>
        <v>-5.264321147328957</v>
      </c>
      <c r="BQ33" s="23"/>
      <c r="BR33" s="20">
        <v>1155.43</v>
      </c>
      <c r="BS33" s="10">
        <f>BT33/BR33</f>
        <v>109.95386998779675</v>
      </c>
      <c r="BT33" s="20">
        <v>127044</v>
      </c>
      <c r="BU33" s="20">
        <v>121773</v>
      </c>
      <c r="BV33" s="45"/>
      <c r="BW33" s="23">
        <f t="shared" si="66"/>
        <v>6.839087494492148</v>
      </c>
      <c r="BX33" s="23">
        <f t="shared" si="67"/>
        <v>7.558671136848517</v>
      </c>
      <c r="BY33" s="23">
        <f t="shared" si="52"/>
        <v>3.096108909885203</v>
      </c>
      <c r="BZ33" s="20"/>
      <c r="CA33" s="10" t="e">
        <f>CB33/BZ33</f>
        <v>#DIV/0!</v>
      </c>
      <c r="CB33" s="20"/>
      <c r="CC33" s="20"/>
      <c r="CD33" s="23">
        <f t="shared" si="68"/>
        <v>-100</v>
      </c>
      <c r="CE33" s="23" t="e">
        <f t="shared" si="69"/>
        <v>#DIV/0!</v>
      </c>
      <c r="CF33" s="23">
        <f t="shared" si="70"/>
        <v>-100</v>
      </c>
      <c r="CG33" s="23">
        <f t="shared" si="71"/>
        <v>-100</v>
      </c>
    </row>
    <row r="34" spans="1:85" ht="12">
      <c r="A34" s="1" t="s">
        <v>31</v>
      </c>
      <c r="B34" s="19">
        <f>B33+B32</f>
        <v>6588.25</v>
      </c>
      <c r="C34" s="10">
        <f t="shared" si="18"/>
        <v>70.65730656851213</v>
      </c>
      <c r="D34" s="9">
        <f>D33+D32</f>
        <v>465508</v>
      </c>
      <c r="E34" s="9">
        <f>E33+E32</f>
        <v>452021</v>
      </c>
      <c r="F34" s="8"/>
      <c r="G34" s="19">
        <f>G33+G32</f>
        <v>5614.78</v>
      </c>
      <c r="H34" s="10">
        <f t="shared" si="19"/>
        <v>67.81512365577993</v>
      </c>
      <c r="I34" s="9">
        <f>I33+I32</f>
        <v>380767</v>
      </c>
      <c r="J34" s="9">
        <f>J33+J32</f>
        <v>373631</v>
      </c>
      <c r="K34" s="23">
        <f t="shared" si="72"/>
        <v>-14.775850946761281</v>
      </c>
      <c r="L34" s="23">
        <f t="shared" si="72"/>
        <v>-4.0224897477181685</v>
      </c>
      <c r="M34" s="23">
        <f t="shared" si="72"/>
        <v>-18.203983605007863</v>
      </c>
      <c r="N34" s="23">
        <f t="shared" si="72"/>
        <v>-17.3421146362669</v>
      </c>
      <c r="O34" s="23"/>
      <c r="P34" s="19">
        <f>P33+P32</f>
        <v>6598.97</v>
      </c>
      <c r="Q34" s="10">
        <f t="shared" si="20"/>
        <v>68.99728290930251</v>
      </c>
      <c r="R34" s="9">
        <f>R33+R32</f>
        <v>455311</v>
      </c>
      <c r="S34" s="9">
        <f>S33+S32</f>
        <v>445767</v>
      </c>
      <c r="T34" s="23">
        <f t="shared" si="21"/>
        <v>17.52855855438682</v>
      </c>
      <c r="U34" s="23">
        <f t="shared" si="21"/>
        <v>1.743208874060386</v>
      </c>
      <c r="V34" s="23">
        <f t="shared" si="21"/>
        <v>19.577326816662165</v>
      </c>
      <c r="W34" s="23">
        <f t="shared" si="21"/>
        <v>19.306749172311726</v>
      </c>
      <c r="X34" s="23"/>
      <c r="Y34" s="19">
        <f>Y33+Y32</f>
        <v>6359.03</v>
      </c>
      <c r="Z34" s="10">
        <f t="shared" si="25"/>
        <v>71.42567341245442</v>
      </c>
      <c r="AA34" s="19">
        <f>AA33+AA32</f>
        <v>454198</v>
      </c>
      <c r="AB34" s="19">
        <f>AB33+AB32</f>
        <v>439732</v>
      </c>
      <c r="AC34" s="23">
        <f t="shared" si="22"/>
        <v>-3.636021985249215</v>
      </c>
      <c r="AD34" s="23">
        <f t="shared" si="22"/>
        <v>3.519545119398458</v>
      </c>
      <c r="AE34" s="23">
        <f t="shared" si="22"/>
        <v>-0.24444830017284858</v>
      </c>
      <c r="AF34" s="23">
        <f t="shared" si="22"/>
        <v>-1.353846291896886</v>
      </c>
      <c r="AG34" s="23"/>
      <c r="AH34" s="19">
        <f>AH33+AH32</f>
        <v>6346.86</v>
      </c>
      <c r="AI34" s="10">
        <f t="shared" si="43"/>
        <v>71.69750081142486</v>
      </c>
      <c r="AJ34" s="19">
        <f>AJ33+AJ32</f>
        <v>455054</v>
      </c>
      <c r="AK34" s="19">
        <f>AK33+AK32</f>
        <v>441310</v>
      </c>
      <c r="AL34" s="23">
        <f t="shared" si="55"/>
        <v>-0.19138138992896359</v>
      </c>
      <c r="AM34" s="23">
        <f t="shared" si="55"/>
        <v>0.38057379928467583</v>
      </c>
      <c r="AN34" s="23">
        <f t="shared" si="55"/>
        <v>0.18846406192893994</v>
      </c>
      <c r="AO34" s="23">
        <f t="shared" si="55"/>
        <v>0.35885493891734654</v>
      </c>
      <c r="AP34" s="23"/>
      <c r="AQ34" s="19">
        <f>AQ33+AQ32</f>
        <v>6010.13</v>
      </c>
      <c r="AR34" s="6" t="s">
        <v>1</v>
      </c>
      <c r="AS34" s="19">
        <f>AS33+AS32</f>
        <v>426712</v>
      </c>
      <c r="AT34" s="19">
        <f>AT33+AT32</f>
        <v>410047</v>
      </c>
      <c r="AU34" s="23">
        <f t="shared" si="56"/>
        <v>-5.305458132052692</v>
      </c>
      <c r="AV34" s="23" t="e">
        <f t="shared" si="57"/>
        <v>#VALUE!</v>
      </c>
      <c r="AW34" s="23">
        <f t="shared" si="58"/>
        <v>-6.228271809499532</v>
      </c>
      <c r="AX34" s="23">
        <f t="shared" si="46"/>
        <v>-9.890474537087911</v>
      </c>
      <c r="AY34" s="23"/>
      <c r="AZ34" s="19">
        <f>AZ33+AZ32</f>
        <v>5560.25</v>
      </c>
      <c r="BA34" s="6" t="s">
        <v>1</v>
      </c>
      <c r="BB34" s="19">
        <f>BB33+BB32</f>
        <v>388053</v>
      </c>
      <c r="BC34" s="19">
        <f>BC33+BC32</f>
        <v>371884</v>
      </c>
      <c r="BD34" s="23">
        <f t="shared" si="59"/>
        <v>-7.485362213462935</v>
      </c>
      <c r="BE34" s="23" t="e">
        <f t="shared" si="60"/>
        <v>#VALUE!</v>
      </c>
      <c r="BF34" s="23">
        <f t="shared" si="61"/>
        <v>-9.059740527568948</v>
      </c>
      <c r="BG34" s="23">
        <f t="shared" si="48"/>
        <v>-12.848947299349447</v>
      </c>
      <c r="BH34" s="23"/>
      <c r="BI34" s="19">
        <f>BI33+BI32</f>
        <v>6312.7</v>
      </c>
      <c r="BJ34" s="6" t="s">
        <v>1</v>
      </c>
      <c r="BK34" s="19">
        <f>BK33+BK32</f>
        <v>446322</v>
      </c>
      <c r="BL34" s="19">
        <f>BL33+BL32</f>
        <v>433575</v>
      </c>
      <c r="BM34" s="23">
        <f t="shared" si="62"/>
        <v>13.532664898161059</v>
      </c>
      <c r="BN34" s="23" t="e">
        <f t="shared" si="63"/>
        <v>#VALUE!</v>
      </c>
      <c r="BO34" s="23">
        <f t="shared" si="64"/>
        <v>15.015732387070841</v>
      </c>
      <c r="BP34" s="23">
        <f t="shared" si="50"/>
        <v>11.730871813901715</v>
      </c>
      <c r="BQ34" s="23"/>
      <c r="BR34" s="19">
        <f>BR33+BR32</f>
        <v>6397.43</v>
      </c>
      <c r="BS34" s="6" t="s">
        <v>1</v>
      </c>
      <c r="BT34" s="19">
        <f>BT33+BT32</f>
        <v>455433</v>
      </c>
      <c r="BU34" s="19">
        <f>BU33+BU32</f>
        <v>440547</v>
      </c>
      <c r="BV34" s="23">
        <f t="shared" si="65"/>
        <v>1.3422149001219736</v>
      </c>
      <c r="BW34" s="23" t="e">
        <f t="shared" si="66"/>
        <v>#VALUE!</v>
      </c>
      <c r="BX34" s="23">
        <f t="shared" si="67"/>
        <v>2.041351311385057</v>
      </c>
      <c r="BY34" s="23">
        <f t="shared" si="52"/>
        <v>-1.2939088819282887</v>
      </c>
      <c r="BZ34" s="19">
        <f>BZ33+BZ32</f>
        <v>5321</v>
      </c>
      <c r="CA34" s="6" t="s">
        <v>1</v>
      </c>
      <c r="CB34" s="19">
        <f>CB33+CB32</f>
        <v>325070</v>
      </c>
      <c r="CC34" s="19">
        <f>CC33+CC32</f>
        <v>315736</v>
      </c>
      <c r="CD34" s="23">
        <f t="shared" si="68"/>
        <v>-16.825975430758916</v>
      </c>
      <c r="CE34" s="23" t="e">
        <f t="shared" si="69"/>
        <v>#VALUE!</v>
      </c>
      <c r="CF34" s="23">
        <f t="shared" si="70"/>
        <v>-28.623968838446046</v>
      </c>
      <c r="CG34" s="23">
        <f t="shared" si="71"/>
        <v>-28.33091588411679</v>
      </c>
    </row>
    <row r="35" spans="1:85" ht="12">
      <c r="A35" s="1" t="s">
        <v>32</v>
      </c>
      <c r="B35" s="20">
        <v>330</v>
      </c>
      <c r="C35" s="10">
        <f t="shared" si="18"/>
        <v>171.02424242424243</v>
      </c>
      <c r="D35" s="11">
        <v>56438</v>
      </c>
      <c r="E35" s="11">
        <v>55439</v>
      </c>
      <c r="F35" s="6"/>
      <c r="G35" s="20">
        <v>440</v>
      </c>
      <c r="H35" s="10">
        <f t="shared" si="19"/>
        <v>193.89318181818183</v>
      </c>
      <c r="I35" s="11">
        <v>85313</v>
      </c>
      <c r="J35" s="11">
        <v>84617</v>
      </c>
      <c r="K35" s="23" t="s">
        <v>1</v>
      </c>
      <c r="L35" s="23" t="s">
        <v>1</v>
      </c>
      <c r="M35" s="23" t="s">
        <v>1</v>
      </c>
      <c r="N35" s="23" t="s">
        <v>1</v>
      </c>
      <c r="O35" s="23"/>
      <c r="P35" s="20">
        <v>475</v>
      </c>
      <c r="Q35" s="10">
        <f t="shared" si="20"/>
        <v>186.52631578947367</v>
      </c>
      <c r="R35" s="11">
        <v>88600</v>
      </c>
      <c r="S35" s="11">
        <v>87849</v>
      </c>
      <c r="T35" s="23">
        <f>P35*100/G35-100</f>
        <v>7.954545454545453</v>
      </c>
      <c r="U35" s="23">
        <f>Q35*100/H35-100</f>
        <v>-3.799445632707318</v>
      </c>
      <c r="V35" s="23">
        <f>R35*100/I35-100</f>
        <v>3.8528711919637146</v>
      </c>
      <c r="W35" s="23">
        <f>S35*100/J35-100</f>
        <v>3.8195634446978772</v>
      </c>
      <c r="X35" s="23"/>
      <c r="Y35" s="20">
        <v>790</v>
      </c>
      <c r="Z35" s="10">
        <f t="shared" si="25"/>
        <v>194.3873417721519</v>
      </c>
      <c r="AA35" s="20">
        <v>153566</v>
      </c>
      <c r="AB35" s="20">
        <v>151266</v>
      </c>
      <c r="AC35" s="23">
        <f t="shared" si="22"/>
        <v>66.31578947368422</v>
      </c>
      <c r="AD35" s="23">
        <f t="shared" si="22"/>
        <v>4.214432665657057</v>
      </c>
      <c r="AE35" s="23">
        <f t="shared" si="22"/>
        <v>73.32505643340858</v>
      </c>
      <c r="AF35" s="23">
        <f t="shared" si="22"/>
        <v>72.18864187412493</v>
      </c>
      <c r="AG35" s="23"/>
      <c r="AH35" s="20">
        <v>632</v>
      </c>
      <c r="AI35" s="10">
        <f t="shared" si="43"/>
        <v>192.9889240506329</v>
      </c>
      <c r="AJ35" s="20">
        <v>121969</v>
      </c>
      <c r="AK35" s="20">
        <v>121089</v>
      </c>
      <c r="AL35" s="23">
        <f t="shared" si="55"/>
        <v>-20</v>
      </c>
      <c r="AM35" s="23">
        <f t="shared" si="55"/>
        <v>-0.7193975228891958</v>
      </c>
      <c r="AN35" s="23">
        <f t="shared" si="55"/>
        <v>-20.575518018311342</v>
      </c>
      <c r="AO35" s="23">
        <f t="shared" si="55"/>
        <v>-19.94962516361906</v>
      </c>
      <c r="AP35" s="23"/>
      <c r="AQ35" s="20">
        <v>334</v>
      </c>
      <c r="AR35" s="10">
        <f>AS35/AQ35</f>
        <v>215.4251497005988</v>
      </c>
      <c r="AS35" s="20">
        <v>71952</v>
      </c>
      <c r="AT35" s="20">
        <v>71490</v>
      </c>
      <c r="AU35" s="23">
        <f>AQ35*100/AH35-100</f>
        <v>-47.151898734177216</v>
      </c>
      <c r="AV35" s="23">
        <f>AR35*100/AI35-100</f>
        <v>11.625654560403433</v>
      </c>
      <c r="AW35" s="23">
        <f>AS35*100/AJ35-100</f>
        <v>-41.007961039280474</v>
      </c>
      <c r="AX35" s="23">
        <f t="shared" si="46"/>
        <v>-41.386745812460546</v>
      </c>
      <c r="AY35" s="23"/>
      <c r="AZ35" s="20">
        <v>589</v>
      </c>
      <c r="BA35" s="10">
        <f>BB35/AZ35</f>
        <v>202.59932088285228</v>
      </c>
      <c r="BB35" s="20">
        <v>119331</v>
      </c>
      <c r="BC35" s="20">
        <v>118737</v>
      </c>
      <c r="BD35" s="23">
        <f t="shared" si="59"/>
        <v>76.34730538922156</v>
      </c>
      <c r="BE35" s="23">
        <f t="shared" si="60"/>
        <v>-5.95372863176469</v>
      </c>
      <c r="BF35" s="23">
        <f t="shared" si="61"/>
        <v>65.84806537691796</v>
      </c>
      <c r="BG35" s="23">
        <f t="shared" si="48"/>
        <v>65.02251501000666</v>
      </c>
      <c r="BH35" s="23"/>
      <c r="BI35" s="20">
        <v>616</v>
      </c>
      <c r="BJ35" s="10">
        <f>BK35/BI35</f>
        <v>211.5146103896104</v>
      </c>
      <c r="BK35" s="20">
        <v>130293</v>
      </c>
      <c r="BL35" s="20">
        <v>128292</v>
      </c>
      <c r="BM35" s="23">
        <f t="shared" si="62"/>
        <v>4.584040747028865</v>
      </c>
      <c r="BN35" s="23">
        <f t="shared" si="63"/>
        <v>4.400453796147289</v>
      </c>
      <c r="BO35" s="23">
        <f t="shared" si="64"/>
        <v>9.18621313824572</v>
      </c>
      <c r="BP35" s="23">
        <f t="shared" si="50"/>
        <v>7.509364708248484</v>
      </c>
      <c r="BQ35" s="23"/>
      <c r="BR35" s="20">
        <v>939</v>
      </c>
      <c r="BS35" s="10">
        <f>BT35/BR35</f>
        <v>211.29605963791266</v>
      </c>
      <c r="BT35" s="20">
        <v>198407</v>
      </c>
      <c r="BU35" s="20">
        <v>197213</v>
      </c>
      <c r="BV35" s="23">
        <f t="shared" si="65"/>
        <v>52.43506493506493</v>
      </c>
      <c r="BW35" s="23">
        <f t="shared" si="66"/>
        <v>-0.10332655096267729</v>
      </c>
      <c r="BX35" s="23">
        <f t="shared" si="67"/>
        <v>52.277559040009834</v>
      </c>
      <c r="BY35" s="23">
        <f t="shared" si="52"/>
        <v>51.361162917424565</v>
      </c>
      <c r="BZ35" s="20"/>
      <c r="CA35" s="10" t="e">
        <f>CB35/BZ35</f>
        <v>#DIV/0!</v>
      </c>
      <c r="CB35" s="20"/>
      <c r="CC35" s="20"/>
      <c r="CD35" s="23">
        <f t="shared" si="68"/>
        <v>-100</v>
      </c>
      <c r="CE35" s="23" t="e">
        <f t="shared" si="69"/>
        <v>#DIV/0!</v>
      </c>
      <c r="CF35" s="23">
        <f t="shared" si="70"/>
        <v>-100</v>
      </c>
      <c r="CG35" s="23">
        <f t="shared" si="71"/>
        <v>-100</v>
      </c>
    </row>
    <row r="36" spans="1:85" ht="12">
      <c r="A36" s="1" t="s">
        <v>144</v>
      </c>
      <c r="B36" s="22">
        <v>38.16</v>
      </c>
      <c r="C36" s="10">
        <f t="shared" si="18"/>
        <v>322.4056603773585</v>
      </c>
      <c r="D36" s="11">
        <v>12303</v>
      </c>
      <c r="E36" s="11">
        <v>12051</v>
      </c>
      <c r="F36" s="8"/>
      <c r="G36" s="22">
        <v>35.2</v>
      </c>
      <c r="H36" s="10">
        <f t="shared" si="19"/>
        <v>456.7897727272727</v>
      </c>
      <c r="I36" s="11">
        <v>16079</v>
      </c>
      <c r="J36" s="11">
        <v>15392</v>
      </c>
      <c r="K36" s="23">
        <f aca="true" t="shared" si="73" ref="K36:N42">G36*100/B36-100</f>
        <v>-7.756813417190756</v>
      </c>
      <c r="L36" s="23">
        <f t="shared" si="73"/>
        <v>41.68168517656446</v>
      </c>
      <c r="M36" s="23">
        <f t="shared" si="73"/>
        <v>30.691701211086723</v>
      </c>
      <c r="N36" s="23">
        <f t="shared" si="73"/>
        <v>27.723840345199562</v>
      </c>
      <c r="O36" s="23"/>
      <c r="P36" s="22">
        <v>30.11</v>
      </c>
      <c r="Q36" s="10">
        <f t="shared" si="20"/>
        <v>295.1843241448024</v>
      </c>
      <c r="R36" s="11">
        <v>8888</v>
      </c>
      <c r="S36" s="11">
        <v>8679</v>
      </c>
      <c r="T36" s="23">
        <f t="shared" si="21"/>
        <v>-14.46022727272728</v>
      </c>
      <c r="U36" s="23">
        <f t="shared" si="21"/>
        <v>-35.37851725917628</v>
      </c>
      <c r="V36" s="23">
        <f t="shared" si="21"/>
        <v>-44.72293053050563</v>
      </c>
      <c r="W36" s="23">
        <f t="shared" si="21"/>
        <v>-43.61356548856549</v>
      </c>
      <c r="X36" s="23"/>
      <c r="Y36" s="22">
        <v>33.41</v>
      </c>
      <c r="Z36" s="10">
        <f t="shared" si="25"/>
        <v>338.49146961987435</v>
      </c>
      <c r="AA36" s="20">
        <v>11309</v>
      </c>
      <c r="AB36" s="20">
        <v>11081</v>
      </c>
      <c r="AC36" s="23">
        <f t="shared" si="22"/>
        <v>10.959814015277303</v>
      </c>
      <c r="AD36" s="23">
        <f t="shared" si="22"/>
        <v>14.671221312493415</v>
      </c>
      <c r="AE36" s="23">
        <f t="shared" si="22"/>
        <v>27.23897389738974</v>
      </c>
      <c r="AF36" s="23">
        <f t="shared" si="22"/>
        <v>27.675999539117413</v>
      </c>
      <c r="AG36" s="23"/>
      <c r="AH36" s="22">
        <v>39.73</v>
      </c>
      <c r="AI36" s="10">
        <f t="shared" si="43"/>
        <v>373.21922980115784</v>
      </c>
      <c r="AJ36" s="20">
        <v>14828</v>
      </c>
      <c r="AK36" s="20">
        <v>14591</v>
      </c>
      <c r="AL36" s="23">
        <f t="shared" si="55"/>
        <v>18.916492068243045</v>
      </c>
      <c r="AM36" s="23">
        <f t="shared" si="55"/>
        <v>10.259567315029457</v>
      </c>
      <c r="AN36" s="23">
        <f t="shared" si="55"/>
        <v>31.116809620656113</v>
      </c>
      <c r="AO36" s="23">
        <f t="shared" si="55"/>
        <v>31.675841530547785</v>
      </c>
      <c r="AP36" s="23"/>
      <c r="AQ36" s="22">
        <v>24.3</v>
      </c>
      <c r="AR36" s="10">
        <f>AS36/AQ36</f>
        <v>387.65432098765433</v>
      </c>
      <c r="AS36" s="20">
        <v>9420</v>
      </c>
      <c r="AT36" s="20">
        <v>9362</v>
      </c>
      <c r="AU36" s="23">
        <f aca="true" t="shared" si="74" ref="AU36:AU99">AQ36*100/AH36-100</f>
        <v>-38.83715076768185</v>
      </c>
      <c r="AV36" s="23">
        <f aca="true" t="shared" si="75" ref="AV36:AV99">AR36*100/AI36-100</f>
        <v>3.8677243919578217</v>
      </c>
      <c r="AW36" s="23">
        <f aca="true" t="shared" si="76" ref="AW36:AW99">AS36*100/AJ36-100</f>
        <v>-36.47154032910709</v>
      </c>
      <c r="AX36" s="23">
        <f aca="true" t="shared" si="77" ref="AX36:AX99">AT36*100/AJ36-100</f>
        <v>-36.862692203938494</v>
      </c>
      <c r="AY36" s="23"/>
      <c r="AZ36" s="22">
        <v>38.63</v>
      </c>
      <c r="BA36" s="10">
        <f>BB36/AZ36</f>
        <v>375.82190007765985</v>
      </c>
      <c r="BB36" s="20">
        <v>14518</v>
      </c>
      <c r="BC36" s="20">
        <v>14371</v>
      </c>
      <c r="BD36" s="23">
        <f t="shared" si="59"/>
        <v>58.971193415637885</v>
      </c>
      <c r="BE36" s="23">
        <f t="shared" si="60"/>
        <v>-3.05231240034891</v>
      </c>
      <c r="BF36" s="23">
        <f t="shared" si="61"/>
        <v>54.118895966029726</v>
      </c>
      <c r="BG36" s="23">
        <f t="shared" si="48"/>
        <v>52.558386411889586</v>
      </c>
      <c r="BH36" s="23"/>
      <c r="BI36" s="22">
        <v>37.33</v>
      </c>
      <c r="BJ36" s="10">
        <f>BK36/BI36</f>
        <v>371.71175997856955</v>
      </c>
      <c r="BK36" s="20">
        <v>13876</v>
      </c>
      <c r="BL36" s="20">
        <v>13681</v>
      </c>
      <c r="BM36" s="23">
        <f t="shared" si="62"/>
        <v>-3.36526016049703</v>
      </c>
      <c r="BN36" s="23">
        <f t="shared" si="63"/>
        <v>-1.0936403914303554</v>
      </c>
      <c r="BO36" s="23">
        <f t="shared" si="64"/>
        <v>-4.422096707535474</v>
      </c>
      <c r="BP36" s="23">
        <f t="shared" si="50"/>
        <v>-5.765256922441111</v>
      </c>
      <c r="BQ36" s="23"/>
      <c r="BR36" s="22">
        <v>32.84</v>
      </c>
      <c r="BS36" s="10">
        <f>BT36/BR36</f>
        <v>314.43361753958584</v>
      </c>
      <c r="BT36" s="20">
        <v>10326</v>
      </c>
      <c r="BU36" s="20">
        <v>10196</v>
      </c>
      <c r="BV36" s="23">
        <f t="shared" si="65"/>
        <v>-12.027859630324116</v>
      </c>
      <c r="BW36" s="23">
        <f t="shared" si="66"/>
        <v>-15.40928983314545</v>
      </c>
      <c r="BX36" s="23">
        <f t="shared" si="67"/>
        <v>-25.58374171230902</v>
      </c>
      <c r="BY36" s="23">
        <f t="shared" si="52"/>
        <v>-26.520611127125974</v>
      </c>
      <c r="BZ36" s="22"/>
      <c r="CA36" s="10" t="e">
        <f>CB36/BZ36</f>
        <v>#DIV/0!</v>
      </c>
      <c r="CB36" s="20"/>
      <c r="CC36" s="20"/>
      <c r="CD36" s="23">
        <f t="shared" si="68"/>
        <v>-100</v>
      </c>
      <c r="CE36" s="23" t="e">
        <f t="shared" si="69"/>
        <v>#DIV/0!</v>
      </c>
      <c r="CF36" s="23">
        <f t="shared" si="70"/>
        <v>-100</v>
      </c>
      <c r="CG36" s="23">
        <f t="shared" si="71"/>
        <v>-100</v>
      </c>
    </row>
    <row r="37" spans="1:85" ht="12">
      <c r="A37" s="1" t="s">
        <v>34</v>
      </c>
      <c r="B37" s="36">
        <f>B36+B35</f>
        <v>368.15999999999997</v>
      </c>
      <c r="C37" s="10">
        <f t="shared" si="18"/>
        <v>1.140808344198175</v>
      </c>
      <c r="D37" s="11">
        <v>420</v>
      </c>
      <c r="E37" s="9">
        <f>E36+E35</f>
        <v>67490</v>
      </c>
      <c r="F37" s="8"/>
      <c r="G37" s="36">
        <f>G36+G35</f>
        <v>475.2</v>
      </c>
      <c r="H37" s="10">
        <f t="shared" si="19"/>
        <v>0.8838383838383839</v>
      </c>
      <c r="I37" s="11">
        <v>420</v>
      </c>
      <c r="J37" s="9">
        <f>J36+J35</f>
        <v>100009</v>
      </c>
      <c r="K37" s="23">
        <f t="shared" si="73"/>
        <v>29.074315514993486</v>
      </c>
      <c r="L37" s="23">
        <f t="shared" si="73"/>
        <v>-22.52525252525254</v>
      </c>
      <c r="M37" s="23">
        <f t="shared" si="73"/>
        <v>0</v>
      </c>
      <c r="N37" s="23">
        <f t="shared" si="73"/>
        <v>48.18343458290116</v>
      </c>
      <c r="O37" s="23"/>
      <c r="P37" s="36">
        <f>P36+P35</f>
        <v>505.11</v>
      </c>
      <c r="Q37" s="10">
        <f t="shared" si="20"/>
        <v>0.8315020490586209</v>
      </c>
      <c r="R37" s="11">
        <v>420</v>
      </c>
      <c r="S37" s="9">
        <f>S36+S35</f>
        <v>96528</v>
      </c>
      <c r="T37" s="23">
        <f t="shared" si="21"/>
        <v>6.294191919191917</v>
      </c>
      <c r="U37" s="23">
        <f t="shared" si="21"/>
        <v>-5.92148244936746</v>
      </c>
      <c r="V37" s="23">
        <f t="shared" si="21"/>
        <v>0</v>
      </c>
      <c r="W37" s="23">
        <f t="shared" si="21"/>
        <v>-3.480686738193569</v>
      </c>
      <c r="X37" s="23"/>
      <c r="Y37" s="36">
        <f>Y36+Y35</f>
        <v>823.41</v>
      </c>
      <c r="Z37" s="10">
        <f t="shared" si="25"/>
        <v>200.23439112957095</v>
      </c>
      <c r="AA37" s="36">
        <f>AA36+AA35</f>
        <v>164875</v>
      </c>
      <c r="AB37" s="36">
        <f>AB36+AB35</f>
        <v>162347</v>
      </c>
      <c r="AC37" s="23">
        <f t="shared" si="22"/>
        <v>63.015976717942635</v>
      </c>
      <c r="AD37" s="23">
        <f t="shared" si="22"/>
        <v>23981.046024632757</v>
      </c>
      <c r="AE37" s="23">
        <f t="shared" si="22"/>
        <v>39155.95238095238</v>
      </c>
      <c r="AF37" s="23">
        <f t="shared" si="22"/>
        <v>68.1864329520968</v>
      </c>
      <c r="AG37" s="23"/>
      <c r="AH37" s="36">
        <f>AH36+AH35</f>
        <v>671.73</v>
      </c>
      <c r="AI37" s="10">
        <f t="shared" si="43"/>
        <v>203.64878745924702</v>
      </c>
      <c r="AJ37" s="36">
        <f>AJ36+AJ35</f>
        <v>136797</v>
      </c>
      <c r="AK37" s="36">
        <f>AK36+AK35</f>
        <v>135680</v>
      </c>
      <c r="AL37" s="23">
        <f t="shared" si="55"/>
        <v>-18.42095675301489</v>
      </c>
      <c r="AM37" s="23">
        <f t="shared" si="55"/>
        <v>1.7051997463645705</v>
      </c>
      <c r="AN37" s="23">
        <f t="shared" si="55"/>
        <v>-17.02987111448067</v>
      </c>
      <c r="AO37" s="23">
        <f t="shared" si="55"/>
        <v>-16.425927180668566</v>
      </c>
      <c r="AP37" s="23"/>
      <c r="AQ37" s="19">
        <f>AQ36+AQ35</f>
        <v>358.3</v>
      </c>
      <c r="AR37" s="6" t="s">
        <v>1</v>
      </c>
      <c r="AS37" s="19">
        <f>AS36+AS35</f>
        <v>81372</v>
      </c>
      <c r="AT37" s="19">
        <f>AT36+AT35</f>
        <v>80852</v>
      </c>
      <c r="AU37" s="23">
        <f t="shared" si="74"/>
        <v>-46.66011641582183</v>
      </c>
      <c r="AV37" s="23" t="e">
        <f t="shared" si="75"/>
        <v>#VALUE!</v>
      </c>
      <c r="AW37" s="23">
        <f t="shared" si="76"/>
        <v>-40.51623939121472</v>
      </c>
      <c r="AX37" s="23">
        <f t="shared" si="77"/>
        <v>-40.89636468636008</v>
      </c>
      <c r="AY37" s="23"/>
      <c r="AZ37" s="19">
        <f>AZ36+AZ35</f>
        <v>627.63</v>
      </c>
      <c r="BA37" s="6" t="s">
        <v>1</v>
      </c>
      <c r="BB37" s="19">
        <f>BB36+BB35</f>
        <v>133849</v>
      </c>
      <c r="BC37" s="19">
        <f>BC36+BC35</f>
        <v>133108</v>
      </c>
      <c r="BD37" s="23">
        <f t="shared" si="59"/>
        <v>75.16885291655038</v>
      </c>
      <c r="BE37" s="23" t="e">
        <f t="shared" si="60"/>
        <v>#VALUE!</v>
      </c>
      <c r="BF37" s="23">
        <f t="shared" si="61"/>
        <v>64.49024234380377</v>
      </c>
      <c r="BG37" s="23">
        <f t="shared" si="48"/>
        <v>63.57960969375216</v>
      </c>
      <c r="BH37" s="23"/>
      <c r="BI37" s="19">
        <f>BI36+BI35</f>
        <v>653.33</v>
      </c>
      <c r="BJ37" s="6" t="s">
        <v>1</v>
      </c>
      <c r="BK37" s="19">
        <f>BK36+BK35</f>
        <v>144169</v>
      </c>
      <c r="BL37" s="19">
        <f>BL36+BL35</f>
        <v>141973</v>
      </c>
      <c r="BM37" s="23">
        <f t="shared" si="62"/>
        <v>4.094769211159459</v>
      </c>
      <c r="BN37" s="23" t="e">
        <f t="shared" si="63"/>
        <v>#VALUE!</v>
      </c>
      <c r="BO37" s="23">
        <f t="shared" si="64"/>
        <v>7.710180875464147</v>
      </c>
      <c r="BP37" s="23">
        <f t="shared" si="50"/>
        <v>6.069526107778174</v>
      </c>
      <c r="BQ37" s="23"/>
      <c r="BR37" s="19">
        <f>BR36+BR35</f>
        <v>971.84</v>
      </c>
      <c r="BS37" s="6" t="s">
        <v>1</v>
      </c>
      <c r="BT37" s="19">
        <f>BT36+BT35</f>
        <v>208733</v>
      </c>
      <c r="BU37" s="19">
        <f>BU36+BU35</f>
        <v>207409</v>
      </c>
      <c r="BV37" s="23">
        <f t="shared" si="65"/>
        <v>48.75177934581299</v>
      </c>
      <c r="BW37" s="23" t="e">
        <f t="shared" si="66"/>
        <v>#VALUE!</v>
      </c>
      <c r="BX37" s="23">
        <f t="shared" si="67"/>
        <v>44.7835526361423</v>
      </c>
      <c r="BY37" s="23">
        <f t="shared" si="52"/>
        <v>43.86518599698965</v>
      </c>
      <c r="BZ37" s="19">
        <f>BZ36+BZ35</f>
        <v>0</v>
      </c>
      <c r="CA37" s="6" t="s">
        <v>1</v>
      </c>
      <c r="CB37" s="19">
        <f>CB36+CB35</f>
        <v>0</v>
      </c>
      <c r="CC37" s="19">
        <f>CC36+CC35</f>
        <v>0</v>
      </c>
      <c r="CD37" s="23">
        <f t="shared" si="68"/>
        <v>-100</v>
      </c>
      <c r="CE37" s="23" t="e">
        <f t="shared" si="69"/>
        <v>#VALUE!</v>
      </c>
      <c r="CF37" s="23">
        <f t="shared" si="70"/>
        <v>-100</v>
      </c>
      <c r="CG37" s="23">
        <f t="shared" si="71"/>
        <v>-100</v>
      </c>
    </row>
    <row r="38" spans="1:85" ht="12">
      <c r="A38" s="1" t="s">
        <v>35</v>
      </c>
      <c r="B38" s="22">
        <v>198.69</v>
      </c>
      <c r="C38" s="10">
        <f t="shared" si="18"/>
        <v>229.9411142986562</v>
      </c>
      <c r="D38" s="11">
        <v>45687</v>
      </c>
      <c r="E38" s="11">
        <v>44478</v>
      </c>
      <c r="F38" s="8"/>
      <c r="G38" s="22">
        <v>164.5</v>
      </c>
      <c r="H38" s="10">
        <f t="shared" si="19"/>
        <v>286.8145896656535</v>
      </c>
      <c r="I38" s="11">
        <v>47181</v>
      </c>
      <c r="J38" s="11">
        <v>46386</v>
      </c>
      <c r="K38" s="23">
        <f t="shared" si="73"/>
        <v>-17.207710503799888</v>
      </c>
      <c r="L38" s="23">
        <f t="shared" si="73"/>
        <v>24.733930484970983</v>
      </c>
      <c r="M38" s="23">
        <f t="shared" si="73"/>
        <v>3.2700768271061804</v>
      </c>
      <c r="N38" s="23">
        <f t="shared" si="73"/>
        <v>4.289761230271139</v>
      </c>
      <c r="O38" s="23"/>
      <c r="P38" s="22">
        <v>175.61</v>
      </c>
      <c r="Q38" s="10">
        <f t="shared" si="20"/>
        <v>287.79112806787765</v>
      </c>
      <c r="R38" s="11">
        <v>50539</v>
      </c>
      <c r="S38" s="11">
        <v>47947</v>
      </c>
      <c r="T38" s="23">
        <f t="shared" si="21"/>
        <v>6.753799392097264</v>
      </c>
      <c r="U38" s="23">
        <f t="shared" si="21"/>
        <v>0.34047724119004386</v>
      </c>
      <c r="V38" s="23">
        <f t="shared" si="21"/>
        <v>7.1172717831330345</v>
      </c>
      <c r="W38" s="23">
        <f t="shared" si="21"/>
        <v>3.3652395119217005</v>
      </c>
      <c r="X38" s="23"/>
      <c r="Y38" s="22">
        <v>176.55</v>
      </c>
      <c r="Z38" s="10">
        <f t="shared" si="25"/>
        <v>181.6935712262815</v>
      </c>
      <c r="AA38" s="20">
        <v>32078</v>
      </c>
      <c r="AB38" s="20">
        <v>31535</v>
      </c>
      <c r="AC38" s="23">
        <f t="shared" si="22"/>
        <v>0.5352770343374402</v>
      </c>
      <c r="AD38" s="23">
        <f t="shared" si="22"/>
        <v>-36.86616663755259</v>
      </c>
      <c r="AE38" s="23">
        <f t="shared" si="22"/>
        <v>-36.528225726666534</v>
      </c>
      <c r="AF38" s="23">
        <f t="shared" si="22"/>
        <v>-34.22946169729076</v>
      </c>
      <c r="AG38" s="23"/>
      <c r="AH38" s="22">
        <v>178.46</v>
      </c>
      <c r="AI38" s="10">
        <f t="shared" si="43"/>
        <v>287.45377115319957</v>
      </c>
      <c r="AJ38" s="20">
        <v>51299</v>
      </c>
      <c r="AK38" s="20">
        <v>50723</v>
      </c>
      <c r="AL38" s="23">
        <f t="shared" si="55"/>
        <v>1.0818465024072452</v>
      </c>
      <c r="AM38" s="23">
        <f t="shared" si="55"/>
        <v>58.20800329539679</v>
      </c>
      <c r="AN38" s="23">
        <f t="shared" si="55"/>
        <v>59.91957104557642</v>
      </c>
      <c r="AO38" s="23">
        <f t="shared" si="55"/>
        <v>60.84667829395909</v>
      </c>
      <c r="AP38" s="23"/>
      <c r="AQ38" s="22">
        <v>146.87</v>
      </c>
      <c r="AR38" s="10">
        <f>AS38/AQ38</f>
        <v>198.51569415129026</v>
      </c>
      <c r="AS38" s="20">
        <v>29156</v>
      </c>
      <c r="AT38" s="20">
        <v>28617</v>
      </c>
      <c r="AU38" s="23">
        <f t="shared" si="74"/>
        <v>-17.70144570211812</v>
      </c>
      <c r="AV38" s="23">
        <f t="shared" si="75"/>
        <v>-30.93995832620662</v>
      </c>
      <c r="AW38" s="23">
        <f t="shared" si="76"/>
        <v>-43.16458410495331</v>
      </c>
      <c r="AX38" s="23">
        <f t="shared" si="77"/>
        <v>-44.21528684769684</v>
      </c>
      <c r="AY38" s="23"/>
      <c r="AZ38" s="22">
        <v>169.28</v>
      </c>
      <c r="BA38" s="10">
        <f>BB38/AZ38</f>
        <v>220.84711720226844</v>
      </c>
      <c r="BB38" s="20">
        <v>37385</v>
      </c>
      <c r="BC38" s="20">
        <v>36853</v>
      </c>
      <c r="BD38" s="23">
        <f t="shared" si="59"/>
        <v>15.258391775039144</v>
      </c>
      <c r="BE38" s="23">
        <f t="shared" si="60"/>
        <v>11.249197775748257</v>
      </c>
      <c r="BF38" s="23">
        <f t="shared" si="61"/>
        <v>28.224036218960066</v>
      </c>
      <c r="BG38" s="23">
        <f t="shared" si="48"/>
        <v>26.399368912059273</v>
      </c>
      <c r="BH38" s="23"/>
      <c r="BI38" s="22">
        <v>171.38</v>
      </c>
      <c r="BJ38" s="10">
        <f>BK38/BI38</f>
        <v>219.02789123585018</v>
      </c>
      <c r="BK38" s="20">
        <v>37537</v>
      </c>
      <c r="BL38" s="20">
        <v>36839</v>
      </c>
      <c r="BM38" s="23">
        <f t="shared" si="62"/>
        <v>1.2405482041587845</v>
      </c>
      <c r="BN38" s="23">
        <f t="shared" si="63"/>
        <v>-0.8237490212525955</v>
      </c>
      <c r="BO38" s="23">
        <f t="shared" si="64"/>
        <v>0.4065801792162631</v>
      </c>
      <c r="BP38" s="23">
        <f t="shared" si="50"/>
        <v>-1.4604788016584251</v>
      </c>
      <c r="BQ38" s="23"/>
      <c r="BR38" s="22">
        <v>152.85</v>
      </c>
      <c r="BS38" s="10">
        <f>BT38/BR38</f>
        <v>198.90742558063462</v>
      </c>
      <c r="BT38" s="20">
        <v>30403</v>
      </c>
      <c r="BU38" s="20">
        <v>29937</v>
      </c>
      <c r="BV38" s="23">
        <f t="shared" si="65"/>
        <v>-10.812230131870692</v>
      </c>
      <c r="BW38" s="23">
        <f t="shared" si="66"/>
        <v>-9.186257303436179</v>
      </c>
      <c r="BX38" s="23">
        <f t="shared" si="67"/>
        <v>-19.00524815515358</v>
      </c>
      <c r="BY38" s="23">
        <f t="shared" si="52"/>
        <v>-20.246689932599836</v>
      </c>
      <c r="BZ38" s="22"/>
      <c r="CA38" s="10" t="e">
        <f>CB38/BZ38</f>
        <v>#DIV/0!</v>
      </c>
      <c r="CB38" s="20"/>
      <c r="CC38" s="20"/>
      <c r="CD38" s="23">
        <f t="shared" si="68"/>
        <v>-100</v>
      </c>
      <c r="CE38" s="23" t="e">
        <f t="shared" si="69"/>
        <v>#DIV/0!</v>
      </c>
      <c r="CF38" s="23">
        <f t="shared" si="70"/>
        <v>-100</v>
      </c>
      <c r="CG38" s="23">
        <f t="shared" si="71"/>
        <v>-100</v>
      </c>
    </row>
    <row r="39" spans="1:85" ht="12">
      <c r="A39" s="1" t="s">
        <v>36</v>
      </c>
      <c r="B39" s="20">
        <v>2816</v>
      </c>
      <c r="C39" s="10">
        <f t="shared" si="18"/>
        <v>218.8671875</v>
      </c>
      <c r="D39" s="11">
        <v>616330</v>
      </c>
      <c r="E39" s="11">
        <v>584719</v>
      </c>
      <c r="F39" s="8"/>
      <c r="G39" s="20">
        <v>2632</v>
      </c>
      <c r="H39" s="10">
        <f t="shared" si="19"/>
        <v>223.24316109422492</v>
      </c>
      <c r="I39" s="11">
        <v>587576</v>
      </c>
      <c r="J39" s="11">
        <v>556639</v>
      </c>
      <c r="K39" s="23">
        <f t="shared" si="73"/>
        <v>-6.5340909090909065</v>
      </c>
      <c r="L39" s="23">
        <f t="shared" si="73"/>
        <v>1.9993739784429465</v>
      </c>
      <c r="M39" s="23">
        <f t="shared" si="73"/>
        <v>-4.665357844012135</v>
      </c>
      <c r="N39" s="23">
        <f t="shared" si="73"/>
        <v>-4.8023067490538125</v>
      </c>
      <c r="O39" s="23"/>
      <c r="P39" s="20">
        <v>2850</v>
      </c>
      <c r="Q39" s="10">
        <f t="shared" si="20"/>
        <v>227.85859649122807</v>
      </c>
      <c r="R39" s="11">
        <v>649397</v>
      </c>
      <c r="S39" s="11">
        <v>603947</v>
      </c>
      <c r="T39" s="23">
        <f t="shared" si="21"/>
        <v>8.282674772036472</v>
      </c>
      <c r="U39" s="23">
        <f t="shared" si="21"/>
        <v>2.0674476093156073</v>
      </c>
      <c r="V39" s="23">
        <f t="shared" si="21"/>
        <v>10.521362342913932</v>
      </c>
      <c r="W39" s="23">
        <f t="shared" si="21"/>
        <v>8.498865512477565</v>
      </c>
      <c r="X39" s="23"/>
      <c r="Y39" s="20">
        <v>2855</v>
      </c>
      <c r="Z39" s="10">
        <f t="shared" si="25"/>
        <v>227.9464098073555</v>
      </c>
      <c r="AA39" s="20">
        <v>650787</v>
      </c>
      <c r="AB39" s="20">
        <v>613810</v>
      </c>
      <c r="AC39" s="23">
        <f t="shared" si="22"/>
        <v>0.17543859649123306</v>
      </c>
      <c r="AD39" s="23">
        <f t="shared" si="22"/>
        <v>0.03853851356923599</v>
      </c>
      <c r="AE39" s="23">
        <f t="shared" si="22"/>
        <v>0.21404472148778098</v>
      </c>
      <c r="AF39" s="23">
        <f t="shared" si="22"/>
        <v>1.6330903208394147</v>
      </c>
      <c r="AG39" s="23"/>
      <c r="AH39" s="20">
        <v>2715</v>
      </c>
      <c r="AI39" s="10">
        <f t="shared" si="43"/>
        <v>230.6802946593002</v>
      </c>
      <c r="AJ39" s="20">
        <v>626297</v>
      </c>
      <c r="AK39" s="20">
        <v>595487</v>
      </c>
      <c r="AL39" s="23">
        <f t="shared" si="55"/>
        <v>-4.903677758318736</v>
      </c>
      <c r="AM39" s="23">
        <f t="shared" si="55"/>
        <v>1.1993542053393895</v>
      </c>
      <c r="AN39" s="23">
        <f t="shared" si="55"/>
        <v>-3.7631360183900426</v>
      </c>
      <c r="AO39" s="23">
        <f t="shared" si="55"/>
        <v>-2.9851256903602064</v>
      </c>
      <c r="AP39" s="23"/>
      <c r="AQ39" s="20">
        <v>2305</v>
      </c>
      <c r="AR39" s="10">
        <f>AS39/AQ39</f>
        <v>235.68459869848155</v>
      </c>
      <c r="AS39" s="20">
        <v>543253</v>
      </c>
      <c r="AT39" s="20">
        <v>509305</v>
      </c>
      <c r="AU39" s="23">
        <f t="shared" si="74"/>
        <v>-15.101289134438304</v>
      </c>
      <c r="AV39" s="23">
        <f t="shared" si="75"/>
        <v>2.169367802556522</v>
      </c>
      <c r="AW39" s="23">
        <f t="shared" si="76"/>
        <v>-13.259523836135259</v>
      </c>
      <c r="AX39" s="23">
        <f t="shared" si="77"/>
        <v>-18.679955356643887</v>
      </c>
      <c r="AY39" s="23"/>
      <c r="AZ39" s="20">
        <v>2755</v>
      </c>
      <c r="BA39" s="10">
        <f>BB39/AZ39</f>
        <v>247.90344827586208</v>
      </c>
      <c r="BB39" s="20">
        <v>682974</v>
      </c>
      <c r="BC39" s="20">
        <v>647450</v>
      </c>
      <c r="BD39" s="23">
        <f t="shared" si="59"/>
        <v>19.522776572668107</v>
      </c>
      <c r="BE39" s="23">
        <f t="shared" si="60"/>
        <v>5.1844073159029165</v>
      </c>
      <c r="BF39" s="23">
        <f t="shared" si="61"/>
        <v>25.719324145471816</v>
      </c>
      <c r="BG39" s="23">
        <f t="shared" si="48"/>
        <v>19.180197808387618</v>
      </c>
      <c r="BH39" s="23"/>
      <c r="BI39" s="20">
        <v>2371</v>
      </c>
      <c r="BJ39" s="10">
        <f>BK39/BI39</f>
        <v>244.44158582876423</v>
      </c>
      <c r="BK39" s="20">
        <v>579571</v>
      </c>
      <c r="BL39" s="20">
        <v>551296</v>
      </c>
      <c r="BM39" s="23">
        <f t="shared" si="62"/>
        <v>-13.938294010889294</v>
      </c>
      <c r="BN39" s="23">
        <f t="shared" si="63"/>
        <v>-1.3964559473354115</v>
      </c>
      <c r="BO39" s="23">
        <f t="shared" si="64"/>
        <v>-15.140107822552537</v>
      </c>
      <c r="BP39" s="23">
        <f t="shared" si="50"/>
        <v>-19.28008972523112</v>
      </c>
      <c r="BQ39" s="23"/>
      <c r="BR39" s="20">
        <v>2574</v>
      </c>
      <c r="BS39" s="10">
        <f>BT39/BR39</f>
        <v>242.05244755244755</v>
      </c>
      <c r="BT39" s="20">
        <v>623043</v>
      </c>
      <c r="BU39" s="20">
        <v>598688</v>
      </c>
      <c r="BV39" s="23">
        <f t="shared" si="65"/>
        <v>8.561788274989453</v>
      </c>
      <c r="BW39" s="23">
        <f t="shared" si="66"/>
        <v>-0.9773861792855172</v>
      </c>
      <c r="BX39" s="23">
        <f t="shared" si="67"/>
        <v>7.5007203604045</v>
      </c>
      <c r="BY39" s="23">
        <f t="shared" si="52"/>
        <v>3.2984742162737604</v>
      </c>
      <c r="BZ39" s="20">
        <v>2574</v>
      </c>
      <c r="CA39" s="10">
        <f>CB39/BZ39</f>
        <v>242.05244755244755</v>
      </c>
      <c r="CB39" s="20">
        <v>623043</v>
      </c>
      <c r="CC39" s="20">
        <v>598688</v>
      </c>
      <c r="CD39" s="23">
        <f t="shared" si="68"/>
        <v>0</v>
      </c>
      <c r="CE39" s="23">
        <f t="shared" si="69"/>
        <v>0</v>
      </c>
      <c r="CF39" s="23">
        <f t="shared" si="70"/>
        <v>0</v>
      </c>
      <c r="CG39" s="23">
        <f t="shared" si="71"/>
        <v>0</v>
      </c>
    </row>
    <row r="40" spans="1:85" ht="12">
      <c r="A40" s="1" t="s">
        <v>37</v>
      </c>
      <c r="B40" s="22">
        <v>111.13</v>
      </c>
      <c r="C40" s="10">
        <f t="shared" si="18"/>
        <v>428.3721767299559</v>
      </c>
      <c r="D40" s="11">
        <v>47605</v>
      </c>
      <c r="E40" s="11">
        <v>47237</v>
      </c>
      <c r="F40" s="8"/>
      <c r="G40" s="22">
        <v>108.59</v>
      </c>
      <c r="H40" s="10">
        <f t="shared" si="19"/>
        <v>1955.3457961138226</v>
      </c>
      <c r="I40" s="11">
        <v>212331</v>
      </c>
      <c r="J40" s="11">
        <v>211582</v>
      </c>
      <c r="K40" s="23">
        <f t="shared" si="73"/>
        <v>-2.285611446054162</v>
      </c>
      <c r="L40" s="23">
        <f t="shared" si="73"/>
        <v>356.4595700496358</v>
      </c>
      <c r="M40" s="23">
        <f t="shared" si="73"/>
        <v>346.02667786997165</v>
      </c>
      <c r="N40" s="23">
        <f t="shared" si="73"/>
        <v>347.91582869360883</v>
      </c>
      <c r="O40" s="23"/>
      <c r="P40" s="22">
        <v>118.32</v>
      </c>
      <c r="Q40" s="10">
        <f t="shared" si="20"/>
        <v>441.44692359702503</v>
      </c>
      <c r="R40" s="11">
        <v>52232</v>
      </c>
      <c r="S40" s="11">
        <v>51654</v>
      </c>
      <c r="T40" s="23">
        <f t="shared" si="21"/>
        <v>8.960309420756971</v>
      </c>
      <c r="U40" s="23">
        <f t="shared" si="21"/>
        <v>-77.42358796718287</v>
      </c>
      <c r="V40" s="23">
        <f t="shared" si="21"/>
        <v>-75.40067159293744</v>
      </c>
      <c r="W40" s="23">
        <f t="shared" si="21"/>
        <v>-75.58677014112732</v>
      </c>
      <c r="X40" s="23"/>
      <c r="Y40" s="22">
        <v>109.73</v>
      </c>
      <c r="Z40" s="10">
        <f t="shared" si="25"/>
        <v>451.11637656064886</v>
      </c>
      <c r="AA40" s="20">
        <v>49501</v>
      </c>
      <c r="AB40" s="20">
        <v>49067</v>
      </c>
      <c r="AC40" s="23">
        <f t="shared" si="22"/>
        <v>-7.259972954699123</v>
      </c>
      <c r="AD40" s="23">
        <f t="shared" si="22"/>
        <v>2.190399897870975</v>
      </c>
      <c r="AE40" s="23">
        <f t="shared" si="22"/>
        <v>-5.22859549701333</v>
      </c>
      <c r="AF40" s="23">
        <f t="shared" si="22"/>
        <v>-5.008324621520117</v>
      </c>
      <c r="AG40" s="23"/>
      <c r="AH40" s="22">
        <v>111.79</v>
      </c>
      <c r="AI40" s="10">
        <f t="shared" si="43"/>
        <v>451.33732892029695</v>
      </c>
      <c r="AJ40" s="20">
        <v>50455</v>
      </c>
      <c r="AK40" s="20">
        <v>50026</v>
      </c>
      <c r="AL40" s="23">
        <f t="shared" si="55"/>
        <v>1.8773352774993128</v>
      </c>
      <c r="AM40" s="23">
        <f t="shared" si="55"/>
        <v>0.04897901542227601</v>
      </c>
      <c r="AN40" s="23">
        <f t="shared" si="55"/>
        <v>1.927233793256704</v>
      </c>
      <c r="AO40" s="23">
        <f t="shared" si="55"/>
        <v>1.9544704179998718</v>
      </c>
      <c r="AP40" s="23"/>
      <c r="AQ40" s="22">
        <v>101.23</v>
      </c>
      <c r="AR40" s="10">
        <f>AS40/AQ40</f>
        <v>450.5877704237874</v>
      </c>
      <c r="AS40" s="20">
        <v>45613</v>
      </c>
      <c r="AT40" s="20">
        <v>45011</v>
      </c>
      <c r="AU40" s="23">
        <f t="shared" si="74"/>
        <v>-9.44628320958941</v>
      </c>
      <c r="AV40" s="23">
        <f t="shared" si="75"/>
        <v>-0.16607500609416093</v>
      </c>
      <c r="AW40" s="23">
        <f t="shared" si="76"/>
        <v>-9.596670300267562</v>
      </c>
      <c r="AX40" s="23">
        <f t="shared" si="77"/>
        <v>-10.789812704390044</v>
      </c>
      <c r="AY40" s="23"/>
      <c r="AZ40" s="22">
        <v>98.23</v>
      </c>
      <c r="BA40" s="10">
        <f>BB40/AZ40</f>
        <v>459.5948284638094</v>
      </c>
      <c r="BB40" s="20">
        <v>45146</v>
      </c>
      <c r="BC40" s="20">
        <v>44515</v>
      </c>
      <c r="BD40" s="23">
        <f t="shared" si="59"/>
        <v>-2.963548355230671</v>
      </c>
      <c r="BE40" s="23">
        <f t="shared" si="60"/>
        <v>1.9989575020091337</v>
      </c>
      <c r="BF40" s="23">
        <f t="shared" si="61"/>
        <v>-1.0238309253940798</v>
      </c>
      <c r="BG40" s="23">
        <f t="shared" si="48"/>
        <v>-2.4072084712691577</v>
      </c>
      <c r="BH40" s="23"/>
      <c r="BI40" s="22">
        <v>91.56</v>
      </c>
      <c r="BJ40" s="10">
        <f>BK40/BI40</f>
        <v>358.7374399301005</v>
      </c>
      <c r="BK40" s="20">
        <v>32846</v>
      </c>
      <c r="BL40" s="20">
        <v>31873</v>
      </c>
      <c r="BM40" s="23">
        <f t="shared" si="62"/>
        <v>-6.790186297465141</v>
      </c>
      <c r="BN40" s="23">
        <f t="shared" si="63"/>
        <v>-21.944848437660525</v>
      </c>
      <c r="BO40" s="23">
        <f t="shared" si="64"/>
        <v>-27.244938643512157</v>
      </c>
      <c r="BP40" s="23">
        <f t="shared" si="50"/>
        <v>-29.400168342710316</v>
      </c>
      <c r="BQ40" s="23"/>
      <c r="BR40" s="22">
        <v>78.63</v>
      </c>
      <c r="BS40" s="10">
        <f>BT40/BR40</f>
        <v>299.3895459748188</v>
      </c>
      <c r="BT40" s="20">
        <v>23541</v>
      </c>
      <c r="BU40" s="20">
        <v>23035</v>
      </c>
      <c r="BV40" s="45"/>
      <c r="BW40" s="23">
        <f t="shared" si="66"/>
        <v>-16.54354615644398</v>
      </c>
      <c r="BX40" s="23">
        <f t="shared" si="67"/>
        <v>-28.32917250197893</v>
      </c>
      <c r="BY40" s="23">
        <f t="shared" si="52"/>
        <v>-29.869694940023138</v>
      </c>
      <c r="BZ40" s="22"/>
      <c r="CA40" s="10" t="e">
        <f>CB40/BZ40</f>
        <v>#DIV/0!</v>
      </c>
      <c r="CB40" s="20"/>
      <c r="CC40" s="20"/>
      <c r="CD40" s="23">
        <f t="shared" si="68"/>
        <v>-100</v>
      </c>
      <c r="CE40" s="23" t="e">
        <f t="shared" si="69"/>
        <v>#DIV/0!</v>
      </c>
      <c r="CF40" s="23">
        <f t="shared" si="70"/>
        <v>-100</v>
      </c>
      <c r="CG40" s="23">
        <f t="shared" si="71"/>
        <v>-100</v>
      </c>
    </row>
    <row r="41" spans="1:85" ht="12">
      <c r="A41" s="1" t="s">
        <v>38</v>
      </c>
      <c r="B41" s="19">
        <f>B39+B40</f>
        <v>2927.13</v>
      </c>
      <c r="C41" s="10">
        <f t="shared" si="18"/>
        <v>226.82115245991807</v>
      </c>
      <c r="D41" s="9">
        <f>D40+D39</f>
        <v>663935</v>
      </c>
      <c r="E41" s="9">
        <f>E40+E39</f>
        <v>631956</v>
      </c>
      <c r="F41" s="8"/>
      <c r="G41" s="19">
        <f>G39+G40</f>
        <v>2740.59</v>
      </c>
      <c r="H41" s="10">
        <f t="shared" si="19"/>
        <v>291.8740125301486</v>
      </c>
      <c r="I41" s="9">
        <f>I40+I39</f>
        <v>799907</v>
      </c>
      <c r="J41" s="9">
        <f>J40+J39</f>
        <v>768221</v>
      </c>
      <c r="K41" s="23">
        <f t="shared" si="73"/>
        <v>-6.3727951952936905</v>
      </c>
      <c r="L41" s="23">
        <f t="shared" si="73"/>
        <v>28.680244044578757</v>
      </c>
      <c r="M41" s="23">
        <f t="shared" si="73"/>
        <v>20.479715634813644</v>
      </c>
      <c r="N41" s="23">
        <f t="shared" si="73"/>
        <v>21.562418902581825</v>
      </c>
      <c r="O41" s="23"/>
      <c r="P41" s="19">
        <f>P39+P40</f>
        <v>2968.32</v>
      </c>
      <c r="Q41" s="10">
        <f t="shared" si="20"/>
        <v>236.37242615351443</v>
      </c>
      <c r="R41" s="9">
        <f>R40+R39</f>
        <v>701629</v>
      </c>
      <c r="S41" s="9">
        <f>S40+S39</f>
        <v>655601</v>
      </c>
      <c r="T41" s="23">
        <f t="shared" si="21"/>
        <v>8.309524591420086</v>
      </c>
      <c r="U41" s="23">
        <f t="shared" si="21"/>
        <v>-19.015597139159908</v>
      </c>
      <c r="V41" s="23">
        <f t="shared" si="21"/>
        <v>-12.28617826822368</v>
      </c>
      <c r="W41" s="23">
        <f t="shared" si="21"/>
        <v>-14.659843977188856</v>
      </c>
      <c r="X41" s="23"/>
      <c r="Y41" s="36">
        <f>Y39+Y40</f>
        <v>2964.73</v>
      </c>
      <c r="Z41" s="10">
        <f t="shared" si="25"/>
        <v>236.20633244848602</v>
      </c>
      <c r="AA41" s="19">
        <f>AA39+AA40</f>
        <v>700288</v>
      </c>
      <c r="AB41" s="19">
        <f>AB39+AB40</f>
        <v>662877</v>
      </c>
      <c r="AC41" s="23">
        <f t="shared" si="22"/>
        <v>-0.12094383354894944</v>
      </c>
      <c r="AD41" s="23">
        <f t="shared" si="22"/>
        <v>-0.07026780057692861</v>
      </c>
      <c r="AE41" s="23">
        <f t="shared" si="22"/>
        <v>-0.19112664955410708</v>
      </c>
      <c r="AF41" s="23">
        <f t="shared" si="22"/>
        <v>1.1098213700101098</v>
      </c>
      <c r="AG41" s="23"/>
      <c r="AH41" s="19">
        <f>AH39+AH40</f>
        <v>2826.79</v>
      </c>
      <c r="AI41" s="10">
        <f t="shared" si="43"/>
        <v>239.40653532805763</v>
      </c>
      <c r="AJ41" s="19">
        <f>AJ39+AJ40</f>
        <v>676752</v>
      </c>
      <c r="AK41" s="19">
        <f>AK39+AK40</f>
        <v>645513</v>
      </c>
      <c r="AL41" s="23">
        <f t="shared" si="55"/>
        <v>-4.6527002458908555</v>
      </c>
      <c r="AM41" s="23">
        <f t="shared" si="55"/>
        <v>1.3548336517478958</v>
      </c>
      <c r="AN41" s="23">
        <f t="shared" si="55"/>
        <v>-3.3609029427892523</v>
      </c>
      <c r="AO41" s="23">
        <f t="shared" si="55"/>
        <v>-2.6194904937115098</v>
      </c>
      <c r="AP41" s="23"/>
      <c r="AQ41" s="19">
        <f>AQ39+AQ40</f>
        <v>2406.23</v>
      </c>
      <c r="AR41" s="6" t="s">
        <v>1</v>
      </c>
      <c r="AS41" s="19">
        <f>AS39+AS40</f>
        <v>588866</v>
      </c>
      <c r="AT41" s="19">
        <f>AT39+AT40</f>
        <v>554316</v>
      </c>
      <c r="AU41" s="23">
        <f t="shared" si="74"/>
        <v>-14.877652743925083</v>
      </c>
      <c r="AV41" s="23" t="e">
        <f t="shared" si="75"/>
        <v>#VALUE!</v>
      </c>
      <c r="AW41" s="23">
        <f t="shared" si="76"/>
        <v>-12.986441118755465</v>
      </c>
      <c r="AX41" s="23">
        <f t="shared" si="77"/>
        <v>-18.091708631817866</v>
      </c>
      <c r="AY41" s="23"/>
      <c r="AZ41" s="19">
        <f>AZ39+AZ40</f>
        <v>2853.23</v>
      </c>
      <c r="BA41" s="6" t="s">
        <v>1</v>
      </c>
      <c r="BB41" s="19">
        <f>BB39+BB40</f>
        <v>728120</v>
      </c>
      <c r="BC41" s="19">
        <f>BC39+BC40</f>
        <v>691965</v>
      </c>
      <c r="BD41" s="23">
        <f t="shared" si="59"/>
        <v>18.576777781010122</v>
      </c>
      <c r="BE41" s="23" t="e">
        <f t="shared" si="60"/>
        <v>#VALUE!</v>
      </c>
      <c r="BF41" s="23">
        <f t="shared" si="61"/>
        <v>23.64782480224703</v>
      </c>
      <c r="BG41" s="23">
        <f t="shared" si="48"/>
        <v>17.508057860362115</v>
      </c>
      <c r="BH41" s="23"/>
      <c r="BI41" s="19">
        <f>BI39+BI40</f>
        <v>2462.56</v>
      </c>
      <c r="BJ41" s="6" t="s">
        <v>1</v>
      </c>
      <c r="BK41" s="19">
        <f>BK39+BK40</f>
        <v>612417</v>
      </c>
      <c r="BL41" s="19">
        <f>BL39+BL40</f>
        <v>583169</v>
      </c>
      <c r="BM41" s="23">
        <f t="shared" si="62"/>
        <v>-13.692201469913044</v>
      </c>
      <c r="BN41" s="23" t="e">
        <f t="shared" si="63"/>
        <v>#VALUE!</v>
      </c>
      <c r="BO41" s="23">
        <f t="shared" si="64"/>
        <v>-15.890649892874805</v>
      </c>
      <c r="BP41" s="23">
        <f t="shared" si="50"/>
        <v>-19.90757018073944</v>
      </c>
      <c r="BQ41" s="23"/>
      <c r="BR41" s="19">
        <f>BR39+BR40</f>
        <v>2652.63</v>
      </c>
      <c r="BS41" s="6" t="s">
        <v>1</v>
      </c>
      <c r="BT41" s="19">
        <f>BT39+BT40</f>
        <v>646584</v>
      </c>
      <c r="BU41" s="19">
        <f>BU39+BU40</f>
        <v>621723</v>
      </c>
      <c r="BV41" s="23">
        <f t="shared" si="65"/>
        <v>7.718390617893576</v>
      </c>
      <c r="BW41" s="23" t="e">
        <f t="shared" si="66"/>
        <v>#VALUE!</v>
      </c>
      <c r="BX41" s="23">
        <f t="shared" si="67"/>
        <v>5.5790417313693155</v>
      </c>
      <c r="BY41" s="23">
        <f t="shared" si="52"/>
        <v>1.5195528536928293</v>
      </c>
      <c r="BZ41" s="19">
        <f>BZ39+BZ40</f>
        <v>2574</v>
      </c>
      <c r="CA41" s="6" t="s">
        <v>1</v>
      </c>
      <c r="CB41" s="19">
        <f>CB39+CB40</f>
        <v>623043</v>
      </c>
      <c r="CC41" s="19">
        <f>CC39+CC40</f>
        <v>598688</v>
      </c>
      <c r="CD41" s="23">
        <f t="shared" si="68"/>
        <v>-2.964227954897595</v>
      </c>
      <c r="CE41" s="23" t="e">
        <f t="shared" si="69"/>
        <v>#VALUE!</v>
      </c>
      <c r="CF41" s="23">
        <f t="shared" si="70"/>
        <v>-3.640826249953605</v>
      </c>
      <c r="CG41" s="23">
        <f t="shared" si="71"/>
        <v>-3.7050261933369057</v>
      </c>
    </row>
    <row r="42" spans="1:85" ht="12">
      <c r="A42" s="1" t="s">
        <v>39</v>
      </c>
      <c r="B42" s="20">
        <v>50120</v>
      </c>
      <c r="C42" s="10">
        <f t="shared" si="18"/>
        <v>100.82482043096569</v>
      </c>
      <c r="D42" s="11">
        <v>5053340</v>
      </c>
      <c r="E42" s="11">
        <v>4742830</v>
      </c>
      <c r="F42" s="8"/>
      <c r="G42" s="20">
        <v>49952</v>
      </c>
      <c r="H42" s="10">
        <f t="shared" si="19"/>
        <v>103.69953155028827</v>
      </c>
      <c r="I42" s="11">
        <v>5179999</v>
      </c>
      <c r="J42" s="11">
        <v>4835614</v>
      </c>
      <c r="K42" s="23">
        <f t="shared" si="73"/>
        <v>-0.33519553072625285</v>
      </c>
      <c r="L42" s="23">
        <f t="shared" si="73"/>
        <v>2.8511938895947537</v>
      </c>
      <c r="M42" s="23">
        <f t="shared" si="73"/>
        <v>2.506441284378255</v>
      </c>
      <c r="N42" s="23">
        <f t="shared" si="73"/>
        <v>1.9563003523212927</v>
      </c>
      <c r="O42" s="23"/>
      <c r="P42" s="20">
        <v>50694</v>
      </c>
      <c r="Q42" s="10">
        <f t="shared" si="20"/>
        <v>100.63147512526137</v>
      </c>
      <c r="R42" s="11">
        <v>5101412</v>
      </c>
      <c r="S42" s="11">
        <v>4865946</v>
      </c>
      <c r="T42" s="23">
        <f t="shared" si="21"/>
        <v>1.4854260089686164</v>
      </c>
      <c r="U42" s="23">
        <f t="shared" si="21"/>
        <v>-2.9586020102116635</v>
      </c>
      <c r="V42" s="23">
        <f t="shared" si="21"/>
        <v>-1.5171238450046047</v>
      </c>
      <c r="W42" s="23">
        <f t="shared" si="21"/>
        <v>0.6272626392429146</v>
      </c>
      <c r="X42" s="23"/>
      <c r="Y42" s="20">
        <v>50321</v>
      </c>
      <c r="Z42" s="10">
        <f t="shared" si="25"/>
        <v>99.39065201406967</v>
      </c>
      <c r="AA42" s="20">
        <v>5001437</v>
      </c>
      <c r="AB42" s="20">
        <v>4801117</v>
      </c>
      <c r="AC42" s="23">
        <f t="shared" si="22"/>
        <v>-0.7357872726555428</v>
      </c>
      <c r="AD42" s="23">
        <f t="shared" si="22"/>
        <v>-1.2330367905739053</v>
      </c>
      <c r="AE42" s="23">
        <f t="shared" si="22"/>
        <v>-1.9597515354572437</v>
      </c>
      <c r="AF42" s="23">
        <f t="shared" si="22"/>
        <v>-1.3323000296345242</v>
      </c>
      <c r="AG42" s="23"/>
      <c r="AH42" s="20">
        <v>49577</v>
      </c>
      <c r="AI42" s="10">
        <f t="shared" si="43"/>
        <v>99.26356980051233</v>
      </c>
      <c r="AJ42" s="20">
        <v>4921190</v>
      </c>
      <c r="AK42" s="20">
        <v>4745500</v>
      </c>
      <c r="AL42" s="23">
        <f t="shared" si="55"/>
        <v>-1.4785079787762498</v>
      </c>
      <c r="AM42" s="23">
        <f t="shared" si="55"/>
        <v>-0.12786133402099153</v>
      </c>
      <c r="AN42" s="23">
        <f t="shared" si="55"/>
        <v>-1.6044788727719634</v>
      </c>
      <c r="AO42" s="23">
        <f t="shared" si="55"/>
        <v>-1.1584179264950194</v>
      </c>
      <c r="AP42" s="23"/>
      <c r="AQ42" s="20">
        <v>35593</v>
      </c>
      <c r="AR42" s="10">
        <f>AS42/AQ42</f>
        <v>110.00036524035625</v>
      </c>
      <c r="AS42" s="20">
        <v>3915243</v>
      </c>
      <c r="AT42" s="20">
        <v>3648707</v>
      </c>
      <c r="AU42" s="23">
        <f t="shared" si="74"/>
        <v>-28.206628073501832</v>
      </c>
      <c r="AV42" s="23">
        <f t="shared" si="75"/>
        <v>10.81645105190293</v>
      </c>
      <c r="AW42" s="23">
        <f t="shared" si="76"/>
        <v>-20.441133140561533</v>
      </c>
      <c r="AX42" s="23">
        <f t="shared" si="77"/>
        <v>-25.85722152568789</v>
      </c>
      <c r="AY42" s="23"/>
      <c r="AZ42" s="20">
        <v>46954</v>
      </c>
      <c r="BA42" s="10">
        <f>BB42/AZ42</f>
        <v>103.64213911487839</v>
      </c>
      <c r="BB42" s="20">
        <v>4866413</v>
      </c>
      <c r="BC42" s="20">
        <v>4577988</v>
      </c>
      <c r="BD42" s="23">
        <f t="shared" si="59"/>
        <v>31.919197595032728</v>
      </c>
      <c r="BE42" s="23">
        <f t="shared" si="60"/>
        <v>-5.780186376276859</v>
      </c>
      <c r="BF42" s="23">
        <f t="shared" si="61"/>
        <v>24.294022107950894</v>
      </c>
      <c r="BG42" s="23">
        <f t="shared" si="48"/>
        <v>16.927301830307854</v>
      </c>
      <c r="BH42" s="23"/>
      <c r="BI42" s="20">
        <v>46440</v>
      </c>
      <c r="BJ42" s="10">
        <f>BK42/BI42</f>
        <v>101.3579457364341</v>
      </c>
      <c r="BK42" s="20">
        <v>4707063</v>
      </c>
      <c r="BL42" s="20">
        <v>4514607</v>
      </c>
      <c r="BM42" s="23">
        <f t="shared" si="62"/>
        <v>-1.0946884184521082</v>
      </c>
      <c r="BN42" s="23">
        <f t="shared" si="63"/>
        <v>-2.2039234214497014</v>
      </c>
      <c r="BO42" s="23">
        <f t="shared" si="64"/>
        <v>-3.2744857454556353</v>
      </c>
      <c r="BP42" s="23">
        <f t="shared" si="50"/>
        <v>-7.229267224134077</v>
      </c>
      <c r="BQ42" s="23"/>
      <c r="BR42" s="20">
        <v>40219</v>
      </c>
      <c r="BS42" s="10">
        <f>BT42/BR42</f>
        <v>91.9851562694249</v>
      </c>
      <c r="BT42" s="20">
        <v>3699551</v>
      </c>
      <c r="BU42" s="20">
        <v>3491051</v>
      </c>
      <c r="BV42" s="23">
        <f t="shared" si="65"/>
        <v>-13.395779500430663</v>
      </c>
      <c r="BW42" s="23">
        <f t="shared" si="66"/>
        <v>-9.24721727429413</v>
      </c>
      <c r="BX42" s="23">
        <f t="shared" si="67"/>
        <v>-21.404259938734626</v>
      </c>
      <c r="BY42" s="23">
        <f t="shared" si="52"/>
        <v>-25.833773629118625</v>
      </c>
      <c r="BZ42" s="20">
        <v>45072</v>
      </c>
      <c r="CA42" s="10">
        <f>CB42/BZ42</f>
        <v>93.6356718139865</v>
      </c>
      <c r="CB42" s="20">
        <v>4220347</v>
      </c>
      <c r="CC42" s="20">
        <v>4025919</v>
      </c>
      <c r="CD42" s="23">
        <f t="shared" si="68"/>
        <v>12.066436261468453</v>
      </c>
      <c r="CE42" s="23">
        <f t="shared" si="69"/>
        <v>1.7943281410831418</v>
      </c>
      <c r="CF42" s="23">
        <f t="shared" si="70"/>
        <v>14.077275864017011</v>
      </c>
      <c r="CG42" s="23">
        <f t="shared" si="71"/>
        <v>15.321116763977386</v>
      </c>
    </row>
    <row r="43" spans="1:85" ht="12">
      <c r="A43" s="1" t="s">
        <v>40</v>
      </c>
      <c r="B43" s="20"/>
      <c r="C43" s="10" t="e">
        <f t="shared" si="18"/>
        <v>#DIV/0!</v>
      </c>
      <c r="D43" s="10"/>
      <c r="E43" s="11"/>
      <c r="F43" s="8"/>
      <c r="G43" s="20"/>
      <c r="H43" s="10" t="e">
        <f t="shared" si="19"/>
        <v>#DIV/0!</v>
      </c>
      <c r="I43" s="10"/>
      <c r="J43" s="11"/>
      <c r="K43" s="33" t="s">
        <v>1</v>
      </c>
      <c r="L43" s="33" t="s">
        <v>1</v>
      </c>
      <c r="M43" s="33" t="s">
        <v>1</v>
      </c>
      <c r="N43" s="33" t="s">
        <v>1</v>
      </c>
      <c r="O43" s="33"/>
      <c r="P43" s="20"/>
      <c r="Q43" s="10" t="e">
        <f t="shared" si="20"/>
        <v>#DIV/0!</v>
      </c>
      <c r="R43" s="10"/>
      <c r="S43" s="11"/>
      <c r="T43" s="23" t="e">
        <f t="shared" si="21"/>
        <v>#DIV/0!</v>
      </c>
      <c r="U43" s="23" t="e">
        <f t="shared" si="21"/>
        <v>#DIV/0!</v>
      </c>
      <c r="V43" s="23" t="e">
        <f t="shared" si="21"/>
        <v>#DIV/0!</v>
      </c>
      <c r="W43" s="23" t="e">
        <f t="shared" si="21"/>
        <v>#DIV/0!</v>
      </c>
      <c r="X43" s="23"/>
      <c r="Y43" s="20"/>
      <c r="Z43" s="10" t="e">
        <f t="shared" si="25"/>
        <v>#DIV/0!</v>
      </c>
      <c r="AA43" s="20"/>
      <c r="AB43" s="20"/>
      <c r="AC43" s="23" t="e">
        <f t="shared" si="22"/>
        <v>#DIV/0!</v>
      </c>
      <c r="AD43" s="23" t="e">
        <f t="shared" si="22"/>
        <v>#DIV/0!</v>
      </c>
      <c r="AE43" s="23" t="e">
        <f t="shared" si="22"/>
        <v>#DIV/0!</v>
      </c>
      <c r="AF43" s="23" t="e">
        <f t="shared" si="22"/>
        <v>#DIV/0!</v>
      </c>
      <c r="AG43" s="23"/>
      <c r="AH43" s="20"/>
      <c r="AI43" s="10" t="e">
        <f t="shared" si="43"/>
        <v>#DIV/0!</v>
      </c>
      <c r="AJ43" s="20"/>
      <c r="AK43" s="20"/>
      <c r="AL43" s="23" t="e">
        <f t="shared" si="55"/>
        <v>#DIV/0!</v>
      </c>
      <c r="AM43" s="23" t="e">
        <f t="shared" si="55"/>
        <v>#DIV/0!</v>
      </c>
      <c r="AN43" s="23" t="e">
        <f t="shared" si="55"/>
        <v>#DIV/0!</v>
      </c>
      <c r="AO43" s="23" t="e">
        <f t="shared" si="55"/>
        <v>#DIV/0!</v>
      </c>
      <c r="AP43" s="23"/>
      <c r="AQ43" s="20"/>
      <c r="AR43" s="10" t="e">
        <f>AS43/AQ43</f>
        <v>#DIV/0!</v>
      </c>
      <c r="AS43" s="20"/>
      <c r="AT43" s="20"/>
      <c r="AU43" s="23" t="e">
        <f t="shared" si="74"/>
        <v>#DIV/0!</v>
      </c>
      <c r="AV43" s="23" t="e">
        <f t="shared" si="75"/>
        <v>#DIV/0!</v>
      </c>
      <c r="AW43" s="23" t="e">
        <f t="shared" si="76"/>
        <v>#DIV/0!</v>
      </c>
      <c r="AX43" s="23" t="e">
        <f t="shared" si="77"/>
        <v>#DIV/0!</v>
      </c>
      <c r="AY43" s="23"/>
      <c r="AZ43" s="20"/>
      <c r="BA43" s="10" t="e">
        <f>BB43/AZ43</f>
        <v>#DIV/0!</v>
      </c>
      <c r="BB43" s="20"/>
      <c r="BC43" s="20"/>
      <c r="BD43" s="23" t="e">
        <f t="shared" si="59"/>
        <v>#DIV/0!</v>
      </c>
      <c r="BE43" s="23" t="e">
        <f t="shared" si="60"/>
        <v>#DIV/0!</v>
      </c>
      <c r="BF43" s="23" t="e">
        <f t="shared" si="61"/>
        <v>#DIV/0!</v>
      </c>
      <c r="BG43" s="23" t="e">
        <f t="shared" si="48"/>
        <v>#DIV/0!</v>
      </c>
      <c r="BH43" s="23"/>
      <c r="BI43" s="20"/>
      <c r="BJ43" s="10" t="e">
        <f>BK43/BI43</f>
        <v>#DIV/0!</v>
      </c>
      <c r="BK43" s="20"/>
      <c r="BL43" s="20"/>
      <c r="BM43" s="23" t="e">
        <f t="shared" si="62"/>
        <v>#DIV/0!</v>
      </c>
      <c r="BN43" s="23" t="e">
        <f t="shared" si="63"/>
        <v>#DIV/0!</v>
      </c>
      <c r="BO43" s="23" t="e">
        <f t="shared" si="64"/>
        <v>#DIV/0!</v>
      </c>
      <c r="BP43" s="23" t="e">
        <f t="shared" si="50"/>
        <v>#DIV/0!</v>
      </c>
      <c r="BQ43" s="23"/>
      <c r="BR43" s="20"/>
      <c r="BS43" s="10" t="e">
        <f>BT43/BR43</f>
        <v>#DIV/0!</v>
      </c>
      <c r="BT43" s="20"/>
      <c r="BU43" s="20"/>
      <c r="BV43" s="23" t="e">
        <f t="shared" si="65"/>
        <v>#DIV/0!</v>
      </c>
      <c r="BW43" s="23" t="e">
        <f t="shared" si="66"/>
        <v>#DIV/0!</v>
      </c>
      <c r="BX43" s="23" t="e">
        <f t="shared" si="67"/>
        <v>#DIV/0!</v>
      </c>
      <c r="BY43" s="23" t="e">
        <f t="shared" si="52"/>
        <v>#DIV/0!</v>
      </c>
      <c r="BZ43" s="20"/>
      <c r="CA43" s="10" t="e">
        <f>CB43/BZ43</f>
        <v>#DIV/0!</v>
      </c>
      <c r="CB43" s="20"/>
      <c r="CC43" s="20"/>
      <c r="CD43" s="23" t="e">
        <f t="shared" si="68"/>
        <v>#DIV/0!</v>
      </c>
      <c r="CE43" s="23" t="e">
        <f t="shared" si="69"/>
        <v>#DIV/0!</v>
      </c>
      <c r="CF43" s="23" t="e">
        <f t="shared" si="70"/>
        <v>#DIV/0!</v>
      </c>
      <c r="CG43" s="23" t="e">
        <f t="shared" si="71"/>
        <v>#DIV/0!</v>
      </c>
    </row>
    <row r="44" spans="1:85" ht="12">
      <c r="A44" s="1" t="s">
        <v>41</v>
      </c>
      <c r="B44" s="20">
        <v>12708</v>
      </c>
      <c r="C44" s="10">
        <f t="shared" si="18"/>
        <v>472.7765187283601</v>
      </c>
      <c r="D44" s="11">
        <v>6008044</v>
      </c>
      <c r="E44" s="11">
        <v>5486095</v>
      </c>
      <c r="F44" s="8"/>
      <c r="G44" s="20">
        <v>12639</v>
      </c>
      <c r="H44" s="10">
        <f t="shared" si="19"/>
        <v>472.1869609937495</v>
      </c>
      <c r="I44" s="11">
        <v>5967971</v>
      </c>
      <c r="J44" s="11">
        <v>5776391</v>
      </c>
      <c r="K44" s="23">
        <f aca="true" t="shared" si="78" ref="K44:K75">G44*100/B44-100</f>
        <v>-0.5429650613786521</v>
      </c>
      <c r="L44" s="23">
        <f aca="true" t="shared" si="79" ref="L44:L75">H44*100/C44-100</f>
        <v>-0.12470114552142775</v>
      </c>
      <c r="M44" s="23">
        <f aca="true" t="shared" si="80" ref="M44:M75">I44*100/D44-100</f>
        <v>-0.6669891232487686</v>
      </c>
      <c r="N44" s="23">
        <f aca="true" t="shared" si="81" ref="N44:N75">J44*100/E44-100</f>
        <v>5.291486931961629</v>
      </c>
      <c r="O44" s="23"/>
      <c r="P44" s="20">
        <v>12610</v>
      </c>
      <c r="Q44" s="10">
        <f t="shared" si="20"/>
        <v>417.13996827914355</v>
      </c>
      <c r="R44" s="11">
        <v>5260135</v>
      </c>
      <c r="S44" s="11">
        <v>5069031</v>
      </c>
      <c r="T44" s="23">
        <f t="shared" si="21"/>
        <v>-0.22944853232058904</v>
      </c>
      <c r="U44" s="23">
        <f t="shared" si="21"/>
        <v>-11.657880725625247</v>
      </c>
      <c r="V44" s="23">
        <f t="shared" si="21"/>
        <v>-11.860580421721224</v>
      </c>
      <c r="W44" s="23">
        <f t="shared" si="21"/>
        <v>-12.24570843628834</v>
      </c>
      <c r="X44" s="23"/>
      <c r="Y44" s="20">
        <v>12241</v>
      </c>
      <c r="Z44" s="10">
        <f t="shared" si="25"/>
        <v>414.14957928273833</v>
      </c>
      <c r="AA44" s="20">
        <v>5069605</v>
      </c>
      <c r="AB44" s="20">
        <v>4808872</v>
      </c>
      <c r="AC44" s="23">
        <f t="shared" si="22"/>
        <v>-2.9262490087232322</v>
      </c>
      <c r="AD44" s="23">
        <f t="shared" si="22"/>
        <v>-0.7168790391248478</v>
      </c>
      <c r="AE44" s="23">
        <f t="shared" si="22"/>
        <v>-3.6221503820719363</v>
      </c>
      <c r="AF44" s="23">
        <f t="shared" si="22"/>
        <v>-5.1323221341514795</v>
      </c>
      <c r="AG44" s="23"/>
      <c r="AH44" s="20">
        <v>11949</v>
      </c>
      <c r="AI44" s="10">
        <f t="shared" si="43"/>
        <v>474.82249560632687</v>
      </c>
      <c r="AJ44" s="20">
        <v>5673654</v>
      </c>
      <c r="AK44" s="20">
        <v>5426502</v>
      </c>
      <c r="AL44" s="23">
        <f t="shared" si="55"/>
        <v>-2.385426027285348</v>
      </c>
      <c r="AM44" s="23">
        <f t="shared" si="55"/>
        <v>14.65000071439583</v>
      </c>
      <c r="AN44" s="23">
        <f t="shared" si="55"/>
        <v>11.915109757071804</v>
      </c>
      <c r="AO44" s="23">
        <f t="shared" si="55"/>
        <v>12.84355250046164</v>
      </c>
      <c r="AP44" s="23"/>
      <c r="AQ44" s="20">
        <v>10508</v>
      </c>
      <c r="AR44" s="10">
        <f>AS44/AQ44</f>
        <v>477.21307575180816</v>
      </c>
      <c r="AS44" s="20">
        <v>5014555</v>
      </c>
      <c r="AT44" s="20">
        <v>4823022</v>
      </c>
      <c r="AU44" s="23">
        <f t="shared" si="74"/>
        <v>-12.059586576282541</v>
      </c>
      <c r="AV44" s="23">
        <f t="shared" si="75"/>
        <v>0.5034681733915392</v>
      </c>
      <c r="AW44" s="23">
        <f t="shared" si="76"/>
        <v>-11.616834583145177</v>
      </c>
      <c r="AX44" s="23">
        <f t="shared" si="77"/>
        <v>-14.99266610195123</v>
      </c>
      <c r="AY44" s="23"/>
      <c r="AZ44" s="20">
        <v>10932</v>
      </c>
      <c r="BA44" s="10">
        <f>BB44/AZ44</f>
        <v>463.3660812294182</v>
      </c>
      <c r="BB44" s="20">
        <v>5065518</v>
      </c>
      <c r="BC44" s="20">
        <v>4899592</v>
      </c>
      <c r="BD44" s="23">
        <f t="shared" si="59"/>
        <v>4.03502093642939</v>
      </c>
      <c r="BE44" s="23">
        <f t="shared" si="60"/>
        <v>-2.9016377014764743</v>
      </c>
      <c r="BF44" s="23">
        <f t="shared" si="61"/>
        <v>1.016301546199017</v>
      </c>
      <c r="BG44" s="23">
        <f t="shared" si="48"/>
        <v>-2.2925862813350335</v>
      </c>
      <c r="BH44" s="23"/>
      <c r="BI44" s="20">
        <v>11136</v>
      </c>
      <c r="BJ44" s="10">
        <f>BK44/BI44</f>
        <v>488.64161278735634</v>
      </c>
      <c r="BK44" s="20">
        <v>5441513</v>
      </c>
      <c r="BL44" s="20">
        <v>5310753</v>
      </c>
      <c r="BM44" s="23">
        <f t="shared" si="62"/>
        <v>1.8660812294182278</v>
      </c>
      <c r="BN44" s="23">
        <f t="shared" si="63"/>
        <v>5.45476515908895</v>
      </c>
      <c r="BO44" s="23">
        <f t="shared" si="64"/>
        <v>7.422636737249775</v>
      </c>
      <c r="BP44" s="23">
        <f t="shared" si="50"/>
        <v>4.841262038749051</v>
      </c>
      <c r="BQ44" s="23"/>
      <c r="BR44" s="20">
        <v>11464</v>
      </c>
      <c r="BS44" s="10">
        <f>BT44/BR44</f>
        <v>450.43553733426376</v>
      </c>
      <c r="BT44" s="20">
        <v>5163793</v>
      </c>
      <c r="BU44" s="20">
        <v>5037227</v>
      </c>
      <c r="BV44" s="23">
        <f t="shared" si="65"/>
        <v>2.9454022988505812</v>
      </c>
      <c r="BW44" s="23">
        <f t="shared" si="66"/>
        <v>-7.818833773725032</v>
      </c>
      <c r="BX44" s="23">
        <f t="shared" si="67"/>
        <v>-5.103727584589066</v>
      </c>
      <c r="BY44" s="23">
        <f t="shared" si="52"/>
        <v>-7.429661566553278</v>
      </c>
      <c r="BZ44" s="20">
        <v>11530</v>
      </c>
      <c r="CA44" s="10">
        <f>CB44/BZ44</f>
        <v>441.1868169991327</v>
      </c>
      <c r="CB44" s="20">
        <v>5086884</v>
      </c>
      <c r="CC44" s="20">
        <v>4966914</v>
      </c>
      <c r="CD44" s="23">
        <f t="shared" si="68"/>
        <v>0.575715282623861</v>
      </c>
      <c r="CE44" s="23">
        <f t="shared" si="69"/>
        <v>-2.053283892711079</v>
      </c>
      <c r="CF44" s="23">
        <f t="shared" si="70"/>
        <v>-1.4893896792532217</v>
      </c>
      <c r="CG44" s="23">
        <f t="shared" si="71"/>
        <v>-1.395867210272641</v>
      </c>
    </row>
    <row r="45" spans="1:85" ht="12">
      <c r="A45" s="1" t="s">
        <v>42</v>
      </c>
      <c r="B45" s="20">
        <v>143.94</v>
      </c>
      <c r="C45" s="10">
        <f t="shared" si="18"/>
        <v>1197.7421147700431</v>
      </c>
      <c r="D45" s="11">
        <v>172403</v>
      </c>
      <c r="E45" s="11">
        <v>166922</v>
      </c>
      <c r="F45" s="8"/>
      <c r="G45" s="20">
        <v>160.43</v>
      </c>
      <c r="H45" s="10">
        <f t="shared" si="19"/>
        <v>1114.0310415757651</v>
      </c>
      <c r="I45" s="11">
        <v>178724</v>
      </c>
      <c r="J45" s="11">
        <v>172116</v>
      </c>
      <c r="K45" s="23">
        <f t="shared" si="78"/>
        <v>11.456162289842993</v>
      </c>
      <c r="L45" s="23">
        <f t="shared" si="79"/>
        <v>-6.989073203821505</v>
      </c>
      <c r="M45" s="23">
        <f t="shared" si="80"/>
        <v>3.6664095172357776</v>
      </c>
      <c r="N45" s="23">
        <f t="shared" si="81"/>
        <v>3.111632978277285</v>
      </c>
      <c r="O45" s="33"/>
      <c r="P45" s="22">
        <v>158.98</v>
      </c>
      <c r="Q45" s="42">
        <f t="shared" si="20"/>
        <v>1108.6111460561078</v>
      </c>
      <c r="R45" s="11">
        <v>176247</v>
      </c>
      <c r="S45" s="11">
        <v>170110</v>
      </c>
      <c r="T45" s="23">
        <f t="shared" si="21"/>
        <v>-0.9038209811132702</v>
      </c>
      <c r="U45" s="23">
        <f t="shared" si="21"/>
        <v>-0.48651207348683556</v>
      </c>
      <c r="V45" s="23">
        <f t="shared" si="21"/>
        <v>-1.3859358564042878</v>
      </c>
      <c r="W45" s="23">
        <f t="shared" si="21"/>
        <v>-1.165493039577953</v>
      </c>
      <c r="X45" s="23"/>
      <c r="Y45" s="22">
        <v>154.83</v>
      </c>
      <c r="Z45" s="10">
        <f t="shared" si="25"/>
        <v>584.3828715365239</v>
      </c>
      <c r="AA45" s="20">
        <v>90480</v>
      </c>
      <c r="AB45" s="20">
        <v>82841</v>
      </c>
      <c r="AC45" s="23">
        <f t="shared" si="22"/>
        <v>-2.610391244181642</v>
      </c>
      <c r="AD45" s="23">
        <f t="shared" si="22"/>
        <v>-47.28693883193668</v>
      </c>
      <c r="AE45" s="23">
        <f t="shared" si="22"/>
        <v>-48.66295596520792</v>
      </c>
      <c r="AF45" s="23">
        <f t="shared" si="22"/>
        <v>-51.30151078713774</v>
      </c>
      <c r="AG45" s="23"/>
      <c r="AH45" s="22">
        <v>158.85</v>
      </c>
      <c r="AI45" s="10">
        <f t="shared" si="43"/>
        <v>581.5297450424929</v>
      </c>
      <c r="AJ45" s="20">
        <v>92376</v>
      </c>
      <c r="AK45" s="20">
        <v>88145</v>
      </c>
      <c r="AL45" s="23">
        <f t="shared" si="55"/>
        <v>2.5963960472776506</v>
      </c>
      <c r="AM45" s="23">
        <f t="shared" si="55"/>
        <v>-0.48822897333204196</v>
      </c>
      <c r="AN45" s="23">
        <f t="shared" si="55"/>
        <v>2.0954907161803646</v>
      </c>
      <c r="AO45" s="23">
        <f t="shared" si="55"/>
        <v>6.402626718653806</v>
      </c>
      <c r="AP45" s="23"/>
      <c r="AQ45" s="22">
        <v>160.53</v>
      </c>
      <c r="AR45" s="10">
        <f>AS45/AQ45</f>
        <v>563.5208372266866</v>
      </c>
      <c r="AS45" s="20">
        <v>90462</v>
      </c>
      <c r="AT45" s="20">
        <v>85355</v>
      </c>
      <c r="AU45" s="23">
        <f t="shared" si="74"/>
        <v>1.0576015108592998</v>
      </c>
      <c r="AV45" s="23">
        <f t="shared" si="75"/>
        <v>-3.0968162797055925</v>
      </c>
      <c r="AW45" s="23">
        <f t="shared" si="76"/>
        <v>-2.0719667446089858</v>
      </c>
      <c r="AX45" s="23">
        <f t="shared" si="77"/>
        <v>-7.600458993678018</v>
      </c>
      <c r="AY45" s="23"/>
      <c r="AZ45" s="22">
        <v>169.14</v>
      </c>
      <c r="BA45" s="10">
        <f>BB45/AZ45</f>
        <v>549.243230459974</v>
      </c>
      <c r="BB45" s="20">
        <v>92899</v>
      </c>
      <c r="BC45" s="20">
        <v>84875</v>
      </c>
      <c r="BD45" s="23">
        <f t="shared" si="59"/>
        <v>5.363483461035315</v>
      </c>
      <c r="BE45" s="23">
        <f t="shared" si="60"/>
        <v>-2.5336430924149056</v>
      </c>
      <c r="BF45" s="23">
        <f t="shared" si="61"/>
        <v>2.69394884039707</v>
      </c>
      <c r="BG45" s="23">
        <f t="shared" si="48"/>
        <v>-6.176073931595582</v>
      </c>
      <c r="BH45" s="23"/>
      <c r="BI45" s="22">
        <v>169.9</v>
      </c>
      <c r="BJ45" s="10">
        <f>BK45/BI45</f>
        <v>517.2454384932313</v>
      </c>
      <c r="BK45" s="20">
        <v>87880</v>
      </c>
      <c r="BL45" s="20">
        <v>81630</v>
      </c>
      <c r="BM45" s="23">
        <f t="shared" si="62"/>
        <v>0.4493319143904557</v>
      </c>
      <c r="BN45" s="23">
        <f t="shared" si="63"/>
        <v>-5.825796330697713</v>
      </c>
      <c r="BO45" s="23">
        <f t="shared" si="64"/>
        <v>-5.4026415784884705</v>
      </c>
      <c r="BP45" s="23">
        <f t="shared" si="50"/>
        <v>-12.130378152617354</v>
      </c>
      <c r="BQ45" s="23"/>
      <c r="BR45" s="22">
        <v>199.79</v>
      </c>
      <c r="BS45" s="10">
        <f>BT45/BR45</f>
        <v>529.5660443465639</v>
      </c>
      <c r="BT45" s="20">
        <v>105802</v>
      </c>
      <c r="BU45" s="20">
        <v>97619</v>
      </c>
      <c r="BV45" s="23">
        <f t="shared" si="65"/>
        <v>17.59270158917009</v>
      </c>
      <c r="BW45" s="23">
        <f t="shared" si="66"/>
        <v>2.3819651052357784</v>
      </c>
      <c r="BX45" s="23">
        <f t="shared" si="67"/>
        <v>20.393718707328176</v>
      </c>
      <c r="BY45" s="23">
        <f t="shared" si="52"/>
        <v>11.082157487482931</v>
      </c>
      <c r="BZ45" s="22"/>
      <c r="CA45" s="10" t="e">
        <f>CB45/BZ45</f>
        <v>#DIV/0!</v>
      </c>
      <c r="CB45" s="20"/>
      <c r="CC45" s="20"/>
      <c r="CD45" s="23">
        <f t="shared" si="68"/>
        <v>-100</v>
      </c>
      <c r="CE45" s="23" t="e">
        <f t="shared" si="69"/>
        <v>#DIV/0!</v>
      </c>
      <c r="CF45" s="23">
        <f t="shared" si="70"/>
        <v>-100</v>
      </c>
      <c r="CG45" s="23">
        <f t="shared" si="71"/>
        <v>-100</v>
      </c>
    </row>
    <row r="46" spans="1:85" ht="12">
      <c r="A46" s="1" t="s">
        <v>43</v>
      </c>
      <c r="B46" s="19">
        <f>B44+B45</f>
        <v>12851.94</v>
      </c>
      <c r="C46" s="10">
        <f t="shared" si="18"/>
        <v>480.896035929206</v>
      </c>
      <c r="D46" s="9">
        <f>D45+D44</f>
        <v>6180447</v>
      </c>
      <c r="E46" s="9">
        <f>E45+E44</f>
        <v>5653017</v>
      </c>
      <c r="F46" s="8"/>
      <c r="G46" s="19">
        <f>G44+G45</f>
        <v>12799.43</v>
      </c>
      <c r="H46" s="10">
        <f t="shared" si="19"/>
        <v>480.23193220323094</v>
      </c>
      <c r="I46" s="9">
        <f>I45+I44</f>
        <v>6146695</v>
      </c>
      <c r="J46" s="9">
        <f>J45+J44</f>
        <v>5948507</v>
      </c>
      <c r="K46" s="23">
        <f t="shared" si="78"/>
        <v>-0.4085764483805576</v>
      </c>
      <c r="L46" s="23">
        <f t="shared" si="79"/>
        <v>-0.13809715122559396</v>
      </c>
      <c r="M46" s="23">
        <f t="shared" si="80"/>
        <v>-0.5461093671703736</v>
      </c>
      <c r="N46" s="23">
        <f t="shared" si="81"/>
        <v>5.227120314692144</v>
      </c>
      <c r="O46" s="23"/>
      <c r="P46" s="19">
        <f>P44+P45</f>
        <v>12768.98</v>
      </c>
      <c r="Q46" s="10">
        <f t="shared" si="20"/>
        <v>425.7491201333231</v>
      </c>
      <c r="R46" s="9">
        <f>R45+R44</f>
        <v>5436382</v>
      </c>
      <c r="S46" s="9">
        <f>S45+S44</f>
        <v>5239141</v>
      </c>
      <c r="T46" s="23">
        <f t="shared" si="21"/>
        <v>-0.2379012190386618</v>
      </c>
      <c r="U46" s="23">
        <f t="shared" si="21"/>
        <v>-11.345103983391738</v>
      </c>
      <c r="V46" s="23">
        <f t="shared" si="21"/>
        <v>-11.556015061752703</v>
      </c>
      <c r="W46" s="23">
        <f t="shared" si="21"/>
        <v>-11.925109947756638</v>
      </c>
      <c r="X46" s="23"/>
      <c r="Y46" s="36">
        <f>Y44+Y45</f>
        <v>12395.83</v>
      </c>
      <c r="Z46" s="10">
        <f t="shared" si="25"/>
        <v>416.2758766456139</v>
      </c>
      <c r="AA46" s="19">
        <f>AA44+AA45</f>
        <v>5160085</v>
      </c>
      <c r="AB46" s="19">
        <f>AB44+AB45</f>
        <v>4891713</v>
      </c>
      <c r="AC46" s="23">
        <f t="shared" si="22"/>
        <v>-2.9223164262141523</v>
      </c>
      <c r="AD46" s="23">
        <f t="shared" si="22"/>
        <v>-2.2250764686824738</v>
      </c>
      <c r="AE46" s="23">
        <f t="shared" si="22"/>
        <v>-5.082369119756478</v>
      </c>
      <c r="AF46" s="23">
        <f t="shared" si="22"/>
        <v>-6.631392436279157</v>
      </c>
      <c r="AG46" s="23"/>
      <c r="AH46" s="19">
        <f>AH44+AH45</f>
        <v>12107.85</v>
      </c>
      <c r="AI46" s="10">
        <f t="shared" si="43"/>
        <v>476.222450724117</v>
      </c>
      <c r="AJ46" s="19">
        <f>AJ44+AJ45</f>
        <v>5766030</v>
      </c>
      <c r="AK46" s="19">
        <f>AK44+AK45</f>
        <v>5514647</v>
      </c>
      <c r="AL46" s="23">
        <f t="shared" si="55"/>
        <v>-2.323200624726212</v>
      </c>
      <c r="AM46" s="23">
        <f t="shared" si="55"/>
        <v>14.40068412360516</v>
      </c>
      <c r="AN46" s="23">
        <f t="shared" si="55"/>
        <v>11.7429267153545</v>
      </c>
      <c r="AO46" s="23">
        <f t="shared" si="55"/>
        <v>12.73447563256471</v>
      </c>
      <c r="AP46" s="23"/>
      <c r="AQ46" s="19">
        <f>AQ44+AQ45</f>
        <v>10668.53</v>
      </c>
      <c r="AR46" s="6" t="s">
        <v>1</v>
      </c>
      <c r="AS46" s="19">
        <f>AS44+AS45</f>
        <v>5105017</v>
      </c>
      <c r="AT46" s="19">
        <f>AT44+AT45</f>
        <v>4908377</v>
      </c>
      <c r="AU46" s="23">
        <f t="shared" si="74"/>
        <v>-11.887494476723788</v>
      </c>
      <c r="AV46" s="23" t="e">
        <f t="shared" si="75"/>
        <v>#VALUE!</v>
      </c>
      <c r="AW46" s="23">
        <f t="shared" si="76"/>
        <v>-11.463918848844003</v>
      </c>
      <c r="AX46" s="23">
        <f t="shared" si="77"/>
        <v>-14.874237560331807</v>
      </c>
      <c r="AY46" s="23"/>
      <c r="AZ46" s="19">
        <f>AZ44+AZ45</f>
        <v>11101.14</v>
      </c>
      <c r="BA46" s="6" t="s">
        <v>1</v>
      </c>
      <c r="BB46" s="19">
        <f>BB44+BB45</f>
        <v>5158417</v>
      </c>
      <c r="BC46" s="19">
        <f>BC44+BC45</f>
        <v>4984467</v>
      </c>
      <c r="BD46" s="23">
        <f t="shared" si="59"/>
        <v>4.055010390372431</v>
      </c>
      <c r="BE46" s="23" t="e">
        <f t="shared" si="60"/>
        <v>#VALUE!</v>
      </c>
      <c r="BF46" s="23">
        <f t="shared" si="61"/>
        <v>1.046029817334599</v>
      </c>
      <c r="BG46" s="23">
        <f t="shared" si="48"/>
        <v>-2.3614025183461678</v>
      </c>
      <c r="BH46" s="23"/>
      <c r="BI46" s="19">
        <f>BI44+BI45</f>
        <v>11305.9</v>
      </c>
      <c r="BJ46" s="6" t="s">
        <v>1</v>
      </c>
      <c r="BK46" s="19">
        <f>BK44+BK45</f>
        <v>5529393</v>
      </c>
      <c r="BL46" s="19">
        <f>BL44+BL45</f>
        <v>5392383</v>
      </c>
      <c r="BM46" s="23">
        <f t="shared" si="62"/>
        <v>1.844495250037383</v>
      </c>
      <c r="BN46" s="23" t="e">
        <f t="shared" si="63"/>
        <v>#VALUE!</v>
      </c>
      <c r="BO46" s="23">
        <f t="shared" si="64"/>
        <v>7.191663644098568</v>
      </c>
      <c r="BP46" s="23">
        <f t="shared" si="50"/>
        <v>4.535616255917276</v>
      </c>
      <c r="BQ46" s="23"/>
      <c r="BR46" s="19">
        <f>BR44+BR45</f>
        <v>11663.79</v>
      </c>
      <c r="BS46" s="6" t="s">
        <v>1</v>
      </c>
      <c r="BT46" s="19">
        <f>BT44+BT45</f>
        <v>5269595</v>
      </c>
      <c r="BU46" s="19">
        <f>BU44+BU45</f>
        <v>5134846</v>
      </c>
      <c r="BV46" s="23">
        <f t="shared" si="65"/>
        <v>3.1655153503922833</v>
      </c>
      <c r="BW46" s="23" t="e">
        <f t="shared" si="66"/>
        <v>#VALUE!</v>
      </c>
      <c r="BX46" s="23">
        <f t="shared" si="67"/>
        <v>-4.698490412962144</v>
      </c>
      <c r="BY46" s="23">
        <f t="shared" si="52"/>
        <v>-7.135448683065206</v>
      </c>
      <c r="BZ46" s="19">
        <f>BZ44+BZ45</f>
        <v>11530</v>
      </c>
      <c r="CA46" s="6" t="s">
        <v>1</v>
      </c>
      <c r="CB46" s="19">
        <f>CB44+CB45</f>
        <v>5086884</v>
      </c>
      <c r="CC46" s="19">
        <f>CC44+CC45</f>
        <v>4966914</v>
      </c>
      <c r="CD46" s="23">
        <f t="shared" si="68"/>
        <v>-1.1470542593788196</v>
      </c>
      <c r="CE46" s="23" t="e">
        <f t="shared" si="69"/>
        <v>#VALUE!</v>
      </c>
      <c r="CF46" s="23">
        <f t="shared" si="70"/>
        <v>-3.4672683574354437</v>
      </c>
      <c r="CG46" s="23">
        <f t="shared" si="71"/>
        <v>-3.270438879763873</v>
      </c>
    </row>
    <row r="47" spans="1:85" ht="12">
      <c r="A47" s="1" t="s">
        <v>44</v>
      </c>
      <c r="B47" s="20">
        <v>4397</v>
      </c>
      <c r="C47" s="10">
        <f t="shared" si="18"/>
        <v>234.45258130543553</v>
      </c>
      <c r="D47" s="11">
        <v>1030888</v>
      </c>
      <c r="E47" s="11">
        <v>987814</v>
      </c>
      <c r="F47" s="8"/>
      <c r="G47" s="20">
        <v>4426</v>
      </c>
      <c r="H47" s="10">
        <f t="shared" si="19"/>
        <v>240.0944419340262</v>
      </c>
      <c r="I47" s="11">
        <v>1062658</v>
      </c>
      <c r="J47" s="11">
        <v>1026465</v>
      </c>
      <c r="K47" s="23">
        <f t="shared" si="78"/>
        <v>0.6595405958608183</v>
      </c>
      <c r="L47" s="23">
        <f t="shared" si="79"/>
        <v>2.4063973180319493</v>
      </c>
      <c r="M47" s="23">
        <f t="shared" si="80"/>
        <v>3.0818090811028895</v>
      </c>
      <c r="N47" s="23">
        <f t="shared" si="81"/>
        <v>3.9127811511073958</v>
      </c>
      <c r="O47" s="23"/>
      <c r="P47" s="20">
        <v>4061</v>
      </c>
      <c r="Q47" s="10">
        <f t="shared" si="20"/>
        <v>241.97020438315687</v>
      </c>
      <c r="R47" s="11">
        <v>982641</v>
      </c>
      <c r="S47" s="11">
        <v>945031</v>
      </c>
      <c r="T47" s="23">
        <f t="shared" si="21"/>
        <v>-8.24672390420244</v>
      </c>
      <c r="U47" s="23">
        <f t="shared" si="21"/>
        <v>0.7812602549317091</v>
      </c>
      <c r="V47" s="23">
        <f t="shared" si="21"/>
        <v>-7.5298920254682145</v>
      </c>
      <c r="W47" s="23">
        <f t="shared" si="21"/>
        <v>-7.9334414714578685</v>
      </c>
      <c r="X47" s="23"/>
      <c r="Y47" s="20">
        <v>4165</v>
      </c>
      <c r="Z47" s="10">
        <f t="shared" si="25"/>
        <v>239.35846338535413</v>
      </c>
      <c r="AA47" s="20">
        <v>996928</v>
      </c>
      <c r="AB47" s="20">
        <v>966713</v>
      </c>
      <c r="AC47" s="23">
        <f t="shared" si="22"/>
        <v>2.5609455799064307</v>
      </c>
      <c r="AD47" s="23">
        <f t="shared" si="22"/>
        <v>-1.0793647112299425</v>
      </c>
      <c r="AE47" s="23">
        <f t="shared" si="22"/>
        <v>1.4539389258131905</v>
      </c>
      <c r="AF47" s="23">
        <f t="shared" si="22"/>
        <v>2.294316271106453</v>
      </c>
      <c r="AG47" s="23"/>
      <c r="AH47" s="20">
        <v>3919</v>
      </c>
      <c r="AI47" s="10">
        <f t="shared" si="43"/>
        <v>250.33988262311814</v>
      </c>
      <c r="AJ47" s="20">
        <v>981082</v>
      </c>
      <c r="AK47" s="20">
        <v>951568</v>
      </c>
      <c r="AL47" s="23">
        <f t="shared" si="55"/>
        <v>-5.906362545018013</v>
      </c>
      <c r="AM47" s="23">
        <f t="shared" si="55"/>
        <v>4.587855003098227</v>
      </c>
      <c r="AN47" s="23">
        <f t="shared" si="55"/>
        <v>-1.5894828914425148</v>
      </c>
      <c r="AO47" s="23">
        <f t="shared" si="55"/>
        <v>-1.5666490468215528</v>
      </c>
      <c r="AP47" s="23"/>
      <c r="AQ47" s="20">
        <v>3854</v>
      </c>
      <c r="AR47" s="10">
        <f aca="true" t="shared" si="82" ref="AR47:AR52">AS47/AQ47</f>
        <v>237.35962636222106</v>
      </c>
      <c r="AS47" s="20">
        <v>914784</v>
      </c>
      <c r="AT47" s="20">
        <v>884425</v>
      </c>
      <c r="AU47" s="23">
        <f t="shared" si="74"/>
        <v>-1.6585863740750142</v>
      </c>
      <c r="AV47" s="23">
        <f t="shared" si="75"/>
        <v>-5.1850532663381586</v>
      </c>
      <c r="AW47" s="23">
        <f t="shared" si="76"/>
        <v>-6.757641053449149</v>
      </c>
      <c r="AX47" s="23">
        <f t="shared" si="77"/>
        <v>-9.852081681245807</v>
      </c>
      <c r="AY47" s="23"/>
      <c r="AZ47" s="20">
        <v>3848</v>
      </c>
      <c r="BA47" s="10">
        <f aca="true" t="shared" si="83" ref="BA47:BA52">BB47/AZ47</f>
        <v>234.4581600831601</v>
      </c>
      <c r="BB47" s="20">
        <v>902195</v>
      </c>
      <c r="BC47" s="20">
        <v>868518</v>
      </c>
      <c r="BD47" s="23">
        <f t="shared" si="59"/>
        <v>-0.15568240788790888</v>
      </c>
      <c r="BE47" s="23">
        <f t="shared" si="60"/>
        <v>-1.2223925035309833</v>
      </c>
      <c r="BF47" s="23">
        <f t="shared" si="61"/>
        <v>-1.3761718613355782</v>
      </c>
      <c r="BG47" s="23">
        <f t="shared" si="48"/>
        <v>-5.057587364886132</v>
      </c>
      <c r="BH47" s="23"/>
      <c r="BI47" s="20">
        <v>3329</v>
      </c>
      <c r="BJ47" s="10">
        <f aca="true" t="shared" si="84" ref="BJ47:BJ52">BK47/BI47</f>
        <v>238.79243015920696</v>
      </c>
      <c r="BK47" s="20">
        <v>794940</v>
      </c>
      <c r="BL47" s="20">
        <v>768773</v>
      </c>
      <c r="BM47" s="23">
        <f t="shared" si="62"/>
        <v>-13.487525987525984</v>
      </c>
      <c r="BN47" s="23">
        <f t="shared" si="63"/>
        <v>1.8486326406850395</v>
      </c>
      <c r="BO47" s="23">
        <f t="shared" si="64"/>
        <v>-11.888228154667232</v>
      </c>
      <c r="BP47" s="23">
        <f t="shared" si="50"/>
        <v>-14.788598917085551</v>
      </c>
      <c r="BQ47" s="23"/>
      <c r="BR47" s="20">
        <v>3331</v>
      </c>
      <c r="BS47" s="10">
        <f aca="true" t="shared" si="85" ref="BS47:BS52">BT47/BR47</f>
        <v>253.6658661062744</v>
      </c>
      <c r="BT47" s="20">
        <v>844961</v>
      </c>
      <c r="BU47" s="20">
        <v>813766</v>
      </c>
      <c r="BV47" s="23">
        <f t="shared" si="65"/>
        <v>0.06007810153198534</v>
      </c>
      <c r="BW47" s="23">
        <f t="shared" si="66"/>
        <v>6.228604456661827</v>
      </c>
      <c r="BX47" s="23">
        <f t="shared" si="67"/>
        <v>6.292424585503312</v>
      </c>
      <c r="BY47" s="23">
        <f t="shared" si="52"/>
        <v>2.368229048733241</v>
      </c>
      <c r="BZ47" s="20">
        <v>3323</v>
      </c>
      <c r="CA47" s="10">
        <f aca="true" t="shared" si="86" ref="CA47:CA52">CB47/BZ47</f>
        <v>246.64610291904904</v>
      </c>
      <c r="CB47" s="20">
        <v>819605</v>
      </c>
      <c r="CC47" s="20">
        <v>724903</v>
      </c>
      <c r="CD47" s="23">
        <f t="shared" si="68"/>
        <v>-0.2401681176823729</v>
      </c>
      <c r="CE47" s="23">
        <f t="shared" si="69"/>
        <v>-2.7673266785860733</v>
      </c>
      <c r="CF47" s="23">
        <f t="shared" si="70"/>
        <v>-3.000848559874356</v>
      </c>
      <c r="CG47" s="23">
        <f t="shared" si="71"/>
        <v>-10.91996962271709</v>
      </c>
    </row>
    <row r="48" spans="1:85" ht="12">
      <c r="A48" s="1" t="s">
        <v>45</v>
      </c>
      <c r="B48" s="20">
        <v>5270</v>
      </c>
      <c r="C48" s="10">
        <f t="shared" si="18"/>
        <v>242.25863377609107</v>
      </c>
      <c r="D48" s="11">
        <v>1276703</v>
      </c>
      <c r="E48" s="11">
        <v>1225727</v>
      </c>
      <c r="F48" s="8"/>
      <c r="G48" s="20">
        <v>5390</v>
      </c>
      <c r="H48" s="10">
        <f t="shared" si="19"/>
        <v>240.0426716141002</v>
      </c>
      <c r="I48" s="11">
        <v>1293830</v>
      </c>
      <c r="J48" s="11">
        <v>1254602</v>
      </c>
      <c r="K48" s="23">
        <f t="shared" si="78"/>
        <v>2.2770398481973473</v>
      </c>
      <c r="L48" s="23">
        <f t="shared" si="79"/>
        <v>-0.9147092623493478</v>
      </c>
      <c r="M48" s="23">
        <f t="shared" si="80"/>
        <v>1.341502291449146</v>
      </c>
      <c r="N48" s="23">
        <f t="shared" si="81"/>
        <v>2.3557447947218293</v>
      </c>
      <c r="O48" s="23"/>
      <c r="P48" s="20">
        <v>5189</v>
      </c>
      <c r="Q48" s="10">
        <f t="shared" si="20"/>
        <v>245.48121025245712</v>
      </c>
      <c r="R48" s="11">
        <v>1273802</v>
      </c>
      <c r="S48" s="11">
        <v>1240853</v>
      </c>
      <c r="T48" s="23">
        <f t="shared" si="21"/>
        <v>-3.7291280148423027</v>
      </c>
      <c r="U48" s="23">
        <f t="shared" si="21"/>
        <v>2.265654936177384</v>
      </c>
      <c r="V48" s="23">
        <f t="shared" si="21"/>
        <v>-1.5479622516095617</v>
      </c>
      <c r="W48" s="23">
        <f t="shared" si="21"/>
        <v>-1.0958853883542332</v>
      </c>
      <c r="X48" s="23"/>
      <c r="Y48" s="20">
        <v>5282</v>
      </c>
      <c r="Z48" s="10">
        <f t="shared" si="25"/>
        <v>246.38792124195382</v>
      </c>
      <c r="AA48" s="20">
        <v>1301421</v>
      </c>
      <c r="AB48" s="20">
        <v>1273327</v>
      </c>
      <c r="AC48" s="23">
        <f t="shared" si="22"/>
        <v>1.792252842551548</v>
      </c>
      <c r="AD48" s="23">
        <f t="shared" si="22"/>
        <v>0.3693606482403311</v>
      </c>
      <c r="AE48" s="23">
        <f t="shared" si="22"/>
        <v>2.168233367509231</v>
      </c>
      <c r="AF48" s="23">
        <f t="shared" si="22"/>
        <v>2.6170706763814877</v>
      </c>
      <c r="AG48" s="23"/>
      <c r="AH48" s="20">
        <v>5016</v>
      </c>
      <c r="AI48" s="10">
        <f t="shared" si="43"/>
        <v>247.14334130781498</v>
      </c>
      <c r="AJ48" s="20">
        <v>1239671</v>
      </c>
      <c r="AK48" s="20">
        <v>1202928</v>
      </c>
      <c r="AL48" s="23">
        <f t="shared" si="55"/>
        <v>-5.035971223021576</v>
      </c>
      <c r="AM48" s="23">
        <f t="shared" si="55"/>
        <v>0.3065978486499574</v>
      </c>
      <c r="AN48" s="23">
        <f t="shared" si="55"/>
        <v>-4.744813553800043</v>
      </c>
      <c r="AO48" s="23">
        <f t="shared" si="55"/>
        <v>-5.528744776479257</v>
      </c>
      <c r="AP48" s="23"/>
      <c r="AQ48" s="20">
        <v>5049</v>
      </c>
      <c r="AR48" s="10">
        <f t="shared" si="82"/>
        <v>248.0154486036839</v>
      </c>
      <c r="AS48" s="20">
        <v>1252230</v>
      </c>
      <c r="AT48" s="20">
        <v>1219415</v>
      </c>
      <c r="AU48" s="23">
        <f t="shared" si="74"/>
        <v>0.6578947368421098</v>
      </c>
      <c r="AV48" s="23">
        <f t="shared" si="75"/>
        <v>0.35287509315605803</v>
      </c>
      <c r="AW48" s="23">
        <f t="shared" si="76"/>
        <v>1.0130913766636525</v>
      </c>
      <c r="AX48" s="23">
        <f t="shared" si="77"/>
        <v>-1.633981919396362</v>
      </c>
      <c r="AY48" s="23"/>
      <c r="AZ48" s="20">
        <v>4999</v>
      </c>
      <c r="BA48" s="10">
        <f t="shared" si="83"/>
        <v>239.7625525105021</v>
      </c>
      <c r="BB48" s="20">
        <v>1198573</v>
      </c>
      <c r="BC48" s="20">
        <v>1151144</v>
      </c>
      <c r="BD48" s="23">
        <f t="shared" si="59"/>
        <v>-0.9902951079421598</v>
      </c>
      <c r="BE48" s="23">
        <f t="shared" si="60"/>
        <v>-3.327573399014142</v>
      </c>
      <c r="BF48" s="23">
        <f t="shared" si="61"/>
        <v>-4.284915710372701</v>
      </c>
      <c r="BG48" s="23">
        <f t="shared" si="48"/>
        <v>-8.072478698002769</v>
      </c>
      <c r="BH48" s="23"/>
      <c r="BI48" s="20">
        <v>4156</v>
      </c>
      <c r="BJ48" s="10">
        <f t="shared" si="84"/>
        <v>244.39966313763233</v>
      </c>
      <c r="BK48" s="20">
        <v>1015725</v>
      </c>
      <c r="BL48" s="20">
        <v>981903</v>
      </c>
      <c r="BM48" s="23">
        <f t="shared" si="62"/>
        <v>-16.8633726745349</v>
      </c>
      <c r="BN48" s="23">
        <f t="shared" si="63"/>
        <v>1.9340429014356317</v>
      </c>
      <c r="BO48" s="23">
        <f t="shared" si="64"/>
        <v>-15.255474635253762</v>
      </c>
      <c r="BP48" s="23">
        <f t="shared" si="50"/>
        <v>-18.077330291938836</v>
      </c>
      <c r="BQ48" s="23"/>
      <c r="BR48" s="20">
        <v>4089</v>
      </c>
      <c r="BS48" s="10">
        <f t="shared" si="85"/>
        <v>252.38860357055515</v>
      </c>
      <c r="BT48" s="20">
        <v>1032017</v>
      </c>
      <c r="BU48" s="20">
        <v>998287</v>
      </c>
      <c r="BV48" s="23">
        <f t="shared" si="65"/>
        <v>-1.612127045235809</v>
      </c>
      <c r="BW48" s="23">
        <f t="shared" si="66"/>
        <v>3.2688017366144493</v>
      </c>
      <c r="BX48" s="23">
        <f t="shared" si="67"/>
        <v>1.603977454527552</v>
      </c>
      <c r="BY48" s="23">
        <f t="shared" si="52"/>
        <v>-1.7168032686012396</v>
      </c>
      <c r="BZ48" s="20">
        <v>4251</v>
      </c>
      <c r="CA48" s="10">
        <f t="shared" si="86"/>
        <v>250.74500117619382</v>
      </c>
      <c r="CB48" s="20">
        <v>1065917</v>
      </c>
      <c r="CC48" s="20">
        <v>996350</v>
      </c>
      <c r="CD48" s="23">
        <f t="shared" si="68"/>
        <v>3.96184886280264</v>
      </c>
      <c r="CE48" s="23">
        <f t="shared" si="69"/>
        <v>-0.6512189421824814</v>
      </c>
      <c r="CF48" s="23">
        <f t="shared" si="70"/>
        <v>3.2848296103649517</v>
      </c>
      <c r="CG48" s="23">
        <f t="shared" si="71"/>
        <v>-0.19403237746259094</v>
      </c>
    </row>
    <row r="49" spans="1:85" ht="12">
      <c r="A49" s="1" t="s">
        <v>123</v>
      </c>
      <c r="B49" s="20">
        <v>18352</v>
      </c>
      <c r="C49" s="10">
        <f t="shared" si="18"/>
        <v>241.90011987794247</v>
      </c>
      <c r="D49" s="11">
        <v>4439351</v>
      </c>
      <c r="E49" s="11">
        <v>4105714</v>
      </c>
      <c r="F49" s="8"/>
      <c r="G49" s="20">
        <v>17924</v>
      </c>
      <c r="H49" s="10">
        <f t="shared" si="19"/>
        <v>242.71948225842445</v>
      </c>
      <c r="I49" s="11">
        <v>4350504</v>
      </c>
      <c r="J49" s="11">
        <v>4162573</v>
      </c>
      <c r="K49" s="23">
        <f t="shared" si="78"/>
        <v>-2.3321708805579817</v>
      </c>
      <c r="L49" s="23">
        <f t="shared" si="79"/>
        <v>0.33871929492858044</v>
      </c>
      <c r="M49" s="23">
        <f t="shared" si="80"/>
        <v>-2.001351098392533</v>
      </c>
      <c r="N49" s="23">
        <f t="shared" si="81"/>
        <v>1.3848748354123046</v>
      </c>
      <c r="O49" s="23"/>
      <c r="P49" s="20">
        <v>17320</v>
      </c>
      <c r="Q49" s="10">
        <f t="shared" si="20"/>
        <v>240.55594688221709</v>
      </c>
      <c r="R49" s="11">
        <v>4166429</v>
      </c>
      <c r="S49" s="11">
        <v>3956374</v>
      </c>
      <c r="T49" s="23">
        <f t="shared" si="21"/>
        <v>-3.3697835304619446</v>
      </c>
      <c r="U49" s="23">
        <f t="shared" si="21"/>
        <v>-0.8913727715947459</v>
      </c>
      <c r="V49" s="23">
        <f t="shared" si="21"/>
        <v>-4.231118969204488</v>
      </c>
      <c r="W49" s="23">
        <f t="shared" si="21"/>
        <v>-4.953642855032214</v>
      </c>
      <c r="X49" s="23"/>
      <c r="Y49" s="20">
        <v>17867</v>
      </c>
      <c r="Z49" s="10">
        <f t="shared" si="25"/>
        <v>248.2986511445682</v>
      </c>
      <c r="AA49" s="20">
        <v>4436352</v>
      </c>
      <c r="AB49" s="20">
        <v>4274071</v>
      </c>
      <c r="AC49" s="23">
        <f t="shared" si="22"/>
        <v>3.1581986143187066</v>
      </c>
      <c r="AD49" s="23">
        <f t="shared" si="22"/>
        <v>3.218670900762291</v>
      </c>
      <c r="AE49" s="23">
        <f t="shared" si="22"/>
        <v>6.478521534868349</v>
      </c>
      <c r="AF49" s="23">
        <f t="shared" si="22"/>
        <v>8.030004241257274</v>
      </c>
      <c r="AG49" s="23"/>
      <c r="AH49" s="20">
        <v>16990</v>
      </c>
      <c r="AI49" s="10">
        <f t="shared" si="43"/>
        <v>250.7491465567981</v>
      </c>
      <c r="AJ49" s="20">
        <v>4260228</v>
      </c>
      <c r="AK49" s="20">
        <v>4071597</v>
      </c>
      <c r="AL49" s="23">
        <f t="shared" si="55"/>
        <v>-4.9084905132367</v>
      </c>
      <c r="AM49" s="23">
        <f t="shared" si="55"/>
        <v>0.9869145083688551</v>
      </c>
      <c r="AN49" s="23">
        <f t="shared" si="55"/>
        <v>-3.9700186098848746</v>
      </c>
      <c r="AO49" s="23">
        <f t="shared" si="55"/>
        <v>-4.737263372555105</v>
      </c>
      <c r="AP49" s="23"/>
      <c r="AQ49" s="20">
        <v>17098</v>
      </c>
      <c r="AR49" s="10">
        <f t="shared" si="82"/>
        <v>250.71014153702188</v>
      </c>
      <c r="AS49" s="20">
        <v>4286642</v>
      </c>
      <c r="AT49" s="20">
        <v>4141415</v>
      </c>
      <c r="AU49" s="23">
        <f t="shared" si="74"/>
        <v>0.6356680400235462</v>
      </c>
      <c r="AV49" s="23">
        <f t="shared" si="75"/>
        <v>-0.015555394828595581</v>
      </c>
      <c r="AW49" s="23">
        <f t="shared" si="76"/>
        <v>0.6200137645215165</v>
      </c>
      <c r="AX49" s="23">
        <f t="shared" si="77"/>
        <v>-2.7888882942415307</v>
      </c>
      <c r="AY49" s="23"/>
      <c r="AZ49" s="20">
        <v>15657</v>
      </c>
      <c r="BA49" s="10">
        <f t="shared" si="83"/>
        <v>255.0708309382385</v>
      </c>
      <c r="BB49" s="20">
        <v>3993644</v>
      </c>
      <c r="BC49" s="20">
        <v>3816343</v>
      </c>
      <c r="BD49" s="23">
        <f t="shared" si="59"/>
        <v>-8.427886302491515</v>
      </c>
      <c r="BE49" s="23">
        <f t="shared" si="60"/>
        <v>1.7393350641831518</v>
      </c>
      <c r="BF49" s="23">
        <f t="shared" si="61"/>
        <v>-6.835140419937105</v>
      </c>
      <c r="BG49" s="23">
        <f t="shared" si="48"/>
        <v>-10.971268419429478</v>
      </c>
      <c r="BH49" s="23"/>
      <c r="BI49" s="20">
        <v>16377</v>
      </c>
      <c r="BJ49" s="10">
        <f t="shared" si="84"/>
        <v>256.03474384807964</v>
      </c>
      <c r="BK49" s="20">
        <v>4193081</v>
      </c>
      <c r="BL49" s="20">
        <v>4040526</v>
      </c>
      <c r="BM49" s="23">
        <f t="shared" si="62"/>
        <v>4.598582103851314</v>
      </c>
      <c r="BN49" s="23">
        <f t="shared" si="63"/>
        <v>0.3779000939839108</v>
      </c>
      <c r="BO49" s="23">
        <f t="shared" si="64"/>
        <v>4.9938602439276</v>
      </c>
      <c r="BP49" s="23">
        <f t="shared" si="50"/>
        <v>1.1739153514935197</v>
      </c>
      <c r="BQ49" s="23"/>
      <c r="BR49" s="20">
        <v>16275</v>
      </c>
      <c r="BS49" s="10">
        <f t="shared" si="85"/>
        <v>256.38771121351766</v>
      </c>
      <c r="BT49" s="20">
        <v>4172710</v>
      </c>
      <c r="BU49" s="20">
        <v>3997746</v>
      </c>
      <c r="BV49" s="48"/>
      <c r="BW49" s="23">
        <f t="shared" si="66"/>
        <v>0.13785916713219137</v>
      </c>
      <c r="BX49" s="23">
        <f t="shared" si="67"/>
        <v>-0.4858241469697333</v>
      </c>
      <c r="BY49" s="23">
        <f t="shared" si="52"/>
        <v>-4.658507670135634</v>
      </c>
      <c r="BZ49" s="20">
        <v>15248</v>
      </c>
      <c r="CA49" s="10">
        <f t="shared" si="86"/>
        <v>251.36194910807976</v>
      </c>
      <c r="CB49" s="20">
        <v>3832767</v>
      </c>
      <c r="CC49" s="20">
        <v>3740238</v>
      </c>
      <c r="CD49" s="23">
        <f t="shared" si="68"/>
        <v>-6.310291858678951</v>
      </c>
      <c r="CE49" s="23">
        <f t="shared" si="69"/>
        <v>-1.9602195759111396</v>
      </c>
      <c r="CF49" s="23">
        <f t="shared" si="70"/>
        <v>-8.146815858279155</v>
      </c>
      <c r="CG49" s="23">
        <f t="shared" si="71"/>
        <v>-6.441329689279911</v>
      </c>
    </row>
    <row r="50" spans="1:85" ht="12">
      <c r="A50" s="1" t="s">
        <v>46</v>
      </c>
      <c r="B50" s="20">
        <v>337</v>
      </c>
      <c r="C50" s="10">
        <f t="shared" si="18"/>
        <v>145.89020771513353</v>
      </c>
      <c r="D50" s="11">
        <v>49165</v>
      </c>
      <c r="E50" s="11">
        <v>48563</v>
      </c>
      <c r="F50" s="8"/>
      <c r="G50" s="20">
        <v>340</v>
      </c>
      <c r="H50" s="10">
        <f t="shared" si="19"/>
        <v>142.54117647058823</v>
      </c>
      <c r="I50" s="11">
        <v>48464</v>
      </c>
      <c r="J50" s="11">
        <v>47338</v>
      </c>
      <c r="K50" s="23">
        <f t="shared" si="78"/>
        <v>0.8902077151335277</v>
      </c>
      <c r="L50" s="23">
        <f t="shared" si="79"/>
        <v>-2.295583299932403</v>
      </c>
      <c r="M50" s="23">
        <f t="shared" si="80"/>
        <v>-1.4258110444421845</v>
      </c>
      <c r="N50" s="23">
        <f t="shared" si="81"/>
        <v>-2.522496550872063</v>
      </c>
      <c r="O50" s="23"/>
      <c r="P50" s="20"/>
      <c r="Q50" s="10" t="e">
        <f t="shared" si="20"/>
        <v>#DIV/0!</v>
      </c>
      <c r="R50" s="10"/>
      <c r="S50" s="11"/>
      <c r="T50" s="23">
        <f t="shared" si="21"/>
        <v>-100</v>
      </c>
      <c r="U50" s="23" t="e">
        <f t="shared" si="21"/>
        <v>#DIV/0!</v>
      </c>
      <c r="V50" s="23">
        <f t="shared" si="21"/>
        <v>-100</v>
      </c>
      <c r="W50" s="23">
        <f t="shared" si="21"/>
        <v>-100</v>
      </c>
      <c r="X50" s="23"/>
      <c r="Y50" s="20">
        <v>293</v>
      </c>
      <c r="Z50" s="10">
        <f t="shared" si="25"/>
        <v>145.94880546075086</v>
      </c>
      <c r="AA50" s="20">
        <v>42763</v>
      </c>
      <c r="AB50" s="20">
        <v>42456</v>
      </c>
      <c r="AC50" s="23" t="e">
        <f t="shared" si="22"/>
        <v>#DIV/0!</v>
      </c>
      <c r="AD50" s="23" t="e">
        <f t="shared" si="22"/>
        <v>#DIV/0!</v>
      </c>
      <c r="AE50" s="23" t="e">
        <f t="shared" si="22"/>
        <v>#DIV/0!</v>
      </c>
      <c r="AF50" s="23" t="e">
        <f t="shared" si="22"/>
        <v>#DIV/0!</v>
      </c>
      <c r="AG50" s="23"/>
      <c r="AH50" s="20">
        <v>306</v>
      </c>
      <c r="AI50" s="10">
        <f t="shared" si="43"/>
        <v>146.86601307189542</v>
      </c>
      <c r="AJ50" s="20">
        <v>44941</v>
      </c>
      <c r="AK50" s="20">
        <v>43881</v>
      </c>
      <c r="AL50" s="23">
        <f t="shared" si="55"/>
        <v>4.436860068259392</v>
      </c>
      <c r="AM50" s="23">
        <f t="shared" si="55"/>
        <v>0.6284447537950086</v>
      </c>
      <c r="AN50" s="23">
        <f t="shared" si="55"/>
        <v>5.093188036386593</v>
      </c>
      <c r="AO50" s="23">
        <f t="shared" si="55"/>
        <v>3.356416054267953</v>
      </c>
      <c r="AP50" s="23"/>
      <c r="AQ50" s="20">
        <v>319</v>
      </c>
      <c r="AR50" s="10">
        <f t="shared" si="82"/>
        <v>136.4858934169279</v>
      </c>
      <c r="AS50" s="20">
        <v>43539</v>
      </c>
      <c r="AT50" s="20">
        <v>40586</v>
      </c>
      <c r="AU50" s="23">
        <f t="shared" si="74"/>
        <v>4.248366013071902</v>
      </c>
      <c r="AV50" s="23">
        <f t="shared" si="75"/>
        <v>-7.067747968269643</v>
      </c>
      <c r="AW50" s="23">
        <f t="shared" si="76"/>
        <v>-3.119645757771295</v>
      </c>
      <c r="AX50" s="23">
        <f t="shared" si="77"/>
        <v>-9.690483077813127</v>
      </c>
      <c r="AY50" s="23"/>
      <c r="AZ50" s="20">
        <v>340</v>
      </c>
      <c r="BA50" s="10">
        <f t="shared" si="83"/>
        <v>141.0705882352941</v>
      </c>
      <c r="BB50" s="20">
        <v>47964</v>
      </c>
      <c r="BC50" s="20">
        <v>45173</v>
      </c>
      <c r="BD50" s="23">
        <f t="shared" si="59"/>
        <v>6.583072100313473</v>
      </c>
      <c r="BE50" s="23">
        <f t="shared" si="60"/>
        <v>3.3590979284292786</v>
      </c>
      <c r="BF50" s="23">
        <f t="shared" si="61"/>
        <v>10.163301867291395</v>
      </c>
      <c r="BG50" s="23">
        <f t="shared" si="48"/>
        <v>3.752957118904888</v>
      </c>
      <c r="BH50" s="23"/>
      <c r="BI50" s="20">
        <v>169</v>
      </c>
      <c r="BJ50" s="10">
        <f t="shared" si="84"/>
        <v>152.63905325443787</v>
      </c>
      <c r="BK50" s="20">
        <v>25796</v>
      </c>
      <c r="BL50" s="20">
        <v>23410</v>
      </c>
      <c r="BM50" s="23">
        <f t="shared" si="62"/>
        <v>-50.294117647058826</v>
      </c>
      <c r="BN50" s="23">
        <f t="shared" si="63"/>
        <v>8.20047974837145</v>
      </c>
      <c r="BO50" s="23">
        <f t="shared" si="64"/>
        <v>-46.21799683095655</v>
      </c>
      <c r="BP50" s="23">
        <f t="shared" si="50"/>
        <v>-51.192561087482275</v>
      </c>
      <c r="BQ50" s="23"/>
      <c r="BR50" s="20">
        <v>185</v>
      </c>
      <c r="BS50" s="10">
        <f t="shared" si="85"/>
        <v>157.06486486486486</v>
      </c>
      <c r="BT50" s="20">
        <v>29057</v>
      </c>
      <c r="BU50" s="20">
        <v>26659</v>
      </c>
      <c r="BV50" s="23">
        <f t="shared" si="65"/>
        <v>9.46745562130178</v>
      </c>
      <c r="BW50" s="23">
        <f t="shared" si="66"/>
        <v>2.8995276870916484</v>
      </c>
      <c r="BX50" s="23">
        <f t="shared" si="67"/>
        <v>12.641494805396192</v>
      </c>
      <c r="BY50" s="23">
        <f t="shared" si="52"/>
        <v>3.3454799193673495</v>
      </c>
      <c r="BZ50" s="20"/>
      <c r="CA50" s="10" t="e">
        <f t="shared" si="86"/>
        <v>#DIV/0!</v>
      </c>
      <c r="CB50" s="20"/>
      <c r="CC50" s="20"/>
      <c r="CD50" s="23">
        <f t="shared" si="68"/>
        <v>-100</v>
      </c>
      <c r="CE50" s="23" t="e">
        <f t="shared" si="69"/>
        <v>#DIV/0!</v>
      </c>
      <c r="CF50" s="23">
        <f t="shared" si="70"/>
        <v>-100</v>
      </c>
      <c r="CG50" s="23">
        <f t="shared" si="71"/>
        <v>-100</v>
      </c>
    </row>
    <row r="51" spans="1:85" ht="12">
      <c r="A51" s="1" t="s">
        <v>47</v>
      </c>
      <c r="B51" s="20">
        <v>1139</v>
      </c>
      <c r="C51" s="10">
        <f t="shared" si="18"/>
        <v>213.13608428446005</v>
      </c>
      <c r="D51" s="11">
        <v>242762</v>
      </c>
      <c r="E51" s="11">
        <v>235056</v>
      </c>
      <c r="F51" s="8"/>
      <c r="G51" s="20">
        <v>1180</v>
      </c>
      <c r="H51" s="10">
        <f t="shared" si="19"/>
        <v>196.45762711864407</v>
      </c>
      <c r="I51" s="11">
        <v>231820</v>
      </c>
      <c r="J51" s="11">
        <v>224937</v>
      </c>
      <c r="K51" s="23">
        <f t="shared" si="78"/>
        <v>3.5996488147497843</v>
      </c>
      <c r="L51" s="23">
        <f t="shared" si="79"/>
        <v>-7.825262072261879</v>
      </c>
      <c r="M51" s="23">
        <f t="shared" si="80"/>
        <v>-4.507295210947348</v>
      </c>
      <c r="N51" s="23">
        <f t="shared" si="81"/>
        <v>-4.304931590769854</v>
      </c>
      <c r="O51" s="23"/>
      <c r="P51" s="20">
        <v>1440</v>
      </c>
      <c r="Q51" s="10">
        <f t="shared" si="20"/>
        <v>193.37291666666667</v>
      </c>
      <c r="R51" s="11">
        <v>278457</v>
      </c>
      <c r="S51" s="11">
        <v>267276</v>
      </c>
      <c r="T51" s="23">
        <f t="shared" si="21"/>
        <v>22.033898305084747</v>
      </c>
      <c r="U51" s="23">
        <f t="shared" si="21"/>
        <v>-1.570165789549364</v>
      </c>
      <c r="V51" s="23">
        <f t="shared" si="21"/>
        <v>20.11776378224485</v>
      </c>
      <c r="W51" s="23">
        <f t="shared" si="21"/>
        <v>18.822603662358787</v>
      </c>
      <c r="X51" s="23"/>
      <c r="Y51" s="20">
        <v>1390</v>
      </c>
      <c r="Z51" s="10">
        <f t="shared" si="25"/>
        <v>193.11438848920864</v>
      </c>
      <c r="AA51" s="20">
        <v>268429</v>
      </c>
      <c r="AB51" s="20">
        <v>257059</v>
      </c>
      <c r="AC51" s="23">
        <f t="shared" si="22"/>
        <v>-3.4722222222222285</v>
      </c>
      <c r="AD51" s="23">
        <f t="shared" si="22"/>
        <v>-0.1336940983848649</v>
      </c>
      <c r="AE51" s="23">
        <f t="shared" si="22"/>
        <v>-3.6012741644131836</v>
      </c>
      <c r="AF51" s="23">
        <f t="shared" si="22"/>
        <v>-3.8226402669899215</v>
      </c>
      <c r="AG51" s="23"/>
      <c r="AH51" s="20">
        <v>1430</v>
      </c>
      <c r="AI51" s="10">
        <f t="shared" si="43"/>
        <v>213.55594405594405</v>
      </c>
      <c r="AJ51" s="20">
        <v>305385</v>
      </c>
      <c r="AK51" s="20">
        <v>293676</v>
      </c>
      <c r="AL51" s="23">
        <f t="shared" si="55"/>
        <v>2.877697841726615</v>
      </c>
      <c r="AM51" s="23">
        <f t="shared" si="55"/>
        <v>10.585205859933993</v>
      </c>
      <c r="AN51" s="23">
        <f t="shared" si="55"/>
        <v>13.76751394223426</v>
      </c>
      <c r="AO51" s="23">
        <f t="shared" si="55"/>
        <v>14.24458976343952</v>
      </c>
      <c r="AP51" s="23"/>
      <c r="AQ51" s="20">
        <v>1163</v>
      </c>
      <c r="AR51" s="10">
        <f t="shared" si="82"/>
        <v>196.50644883920893</v>
      </c>
      <c r="AS51" s="20">
        <v>228537</v>
      </c>
      <c r="AT51" s="20">
        <v>219382</v>
      </c>
      <c r="AU51" s="23">
        <f t="shared" si="74"/>
        <v>-18.671328671328666</v>
      </c>
      <c r="AV51" s="23">
        <f t="shared" si="75"/>
        <v>-7.983620073000054</v>
      </c>
      <c r="AW51" s="23">
        <f t="shared" si="76"/>
        <v>-25.16430080062871</v>
      </c>
      <c r="AX51" s="23">
        <f t="shared" si="77"/>
        <v>-28.16215596705797</v>
      </c>
      <c r="AY51" s="23"/>
      <c r="AZ51" s="20">
        <v>1436</v>
      </c>
      <c r="BA51" s="10">
        <f t="shared" si="83"/>
        <v>184.35863509749305</v>
      </c>
      <c r="BB51" s="20">
        <v>264739</v>
      </c>
      <c r="BC51" s="20">
        <v>254670</v>
      </c>
      <c r="BD51" s="23">
        <f t="shared" si="59"/>
        <v>23.473774720550296</v>
      </c>
      <c r="BE51" s="23">
        <f t="shared" si="60"/>
        <v>-6.181890626732454</v>
      </c>
      <c r="BF51" s="23">
        <f t="shared" si="61"/>
        <v>15.84076101462783</v>
      </c>
      <c r="BG51" s="23">
        <f t="shared" si="48"/>
        <v>11.434909883301174</v>
      </c>
      <c r="BH51" s="23"/>
      <c r="BI51" s="20">
        <v>1392</v>
      </c>
      <c r="BJ51" s="10">
        <f t="shared" si="84"/>
        <v>157.27658045977012</v>
      </c>
      <c r="BK51" s="20">
        <v>218929</v>
      </c>
      <c r="BL51" s="20">
        <v>209857</v>
      </c>
      <c r="BM51" s="23">
        <f t="shared" si="62"/>
        <v>-3.064066852367688</v>
      </c>
      <c r="BN51" s="23">
        <f t="shared" si="63"/>
        <v>-14.68987586255524</v>
      </c>
      <c r="BO51" s="23">
        <f t="shared" si="64"/>
        <v>-17.30383509796441</v>
      </c>
      <c r="BP51" s="23">
        <f t="shared" si="50"/>
        <v>-20.730606370802946</v>
      </c>
      <c r="BQ51" s="23"/>
      <c r="BR51" s="20">
        <v>1299</v>
      </c>
      <c r="BS51" s="10">
        <f t="shared" si="85"/>
        <v>169.5604311008468</v>
      </c>
      <c r="BT51" s="20">
        <v>220259</v>
      </c>
      <c r="BU51" s="20">
        <v>208670</v>
      </c>
      <c r="BV51" s="23">
        <f t="shared" si="65"/>
        <v>-6.681034482758619</v>
      </c>
      <c r="BW51" s="23">
        <f t="shared" si="66"/>
        <v>7.810349516226154</v>
      </c>
      <c r="BX51" s="23">
        <f t="shared" si="67"/>
        <v>0.6075028890644916</v>
      </c>
      <c r="BY51" s="23">
        <f t="shared" si="52"/>
        <v>-4.685994089407984</v>
      </c>
      <c r="BZ51" s="20"/>
      <c r="CA51" s="10" t="e">
        <f t="shared" si="86"/>
        <v>#DIV/0!</v>
      </c>
      <c r="CB51" s="20"/>
      <c r="CC51" s="20"/>
      <c r="CD51" s="23">
        <f t="shared" si="68"/>
        <v>-100</v>
      </c>
      <c r="CE51" s="23" t="e">
        <f t="shared" si="69"/>
        <v>#DIV/0!</v>
      </c>
      <c r="CF51" s="23">
        <f t="shared" si="70"/>
        <v>-100</v>
      </c>
      <c r="CG51" s="23">
        <f t="shared" si="71"/>
        <v>-100</v>
      </c>
    </row>
    <row r="52" spans="1:85" ht="12">
      <c r="A52" s="1" t="s">
        <v>48</v>
      </c>
      <c r="B52" s="22">
        <v>662.16</v>
      </c>
      <c r="C52" s="10">
        <f t="shared" si="18"/>
        <v>631.9499818774918</v>
      </c>
      <c r="D52" s="11">
        <v>418452</v>
      </c>
      <c r="E52" s="11">
        <v>408463</v>
      </c>
      <c r="F52" s="8"/>
      <c r="G52" s="22">
        <v>538.41</v>
      </c>
      <c r="H52" s="10">
        <f t="shared" si="19"/>
        <v>847.2446648464925</v>
      </c>
      <c r="I52" s="11">
        <v>456165</v>
      </c>
      <c r="J52" s="11">
        <v>442971</v>
      </c>
      <c r="K52" s="23">
        <f t="shared" si="78"/>
        <v>-18.68883653497643</v>
      </c>
      <c r="L52" s="23">
        <f t="shared" si="79"/>
        <v>34.06831064847427</v>
      </c>
      <c r="M52" s="23">
        <f t="shared" si="80"/>
        <v>9.012503226176477</v>
      </c>
      <c r="N52" s="23">
        <f t="shared" si="81"/>
        <v>8.448256023189373</v>
      </c>
      <c r="O52" s="23"/>
      <c r="P52" s="22">
        <v>548.95</v>
      </c>
      <c r="Q52" s="10">
        <f t="shared" si="20"/>
        <v>730.2322615903087</v>
      </c>
      <c r="R52" s="11">
        <v>400861</v>
      </c>
      <c r="S52" s="11">
        <v>391228</v>
      </c>
      <c r="T52" s="23">
        <f t="shared" si="21"/>
        <v>1.9576159432402989</v>
      </c>
      <c r="U52" s="23">
        <f t="shared" si="21"/>
        <v>-13.810934209586875</v>
      </c>
      <c r="V52" s="23">
        <f t="shared" si="21"/>
        <v>-12.123683316343872</v>
      </c>
      <c r="W52" s="23">
        <f t="shared" si="21"/>
        <v>-11.68090010407002</v>
      </c>
      <c r="X52" s="23"/>
      <c r="Y52" s="22">
        <v>536.36</v>
      </c>
      <c r="Z52" s="10">
        <f t="shared" si="25"/>
        <v>649.2244015213662</v>
      </c>
      <c r="AA52" s="20">
        <v>348218</v>
      </c>
      <c r="AB52" s="20">
        <v>338921</v>
      </c>
      <c r="AC52" s="23">
        <f t="shared" si="22"/>
        <v>-2.293469350578391</v>
      </c>
      <c r="AD52" s="23">
        <f t="shared" si="22"/>
        <v>-11.093437571838123</v>
      </c>
      <c r="AE52" s="23">
        <f t="shared" si="22"/>
        <v>-13.132482331780835</v>
      </c>
      <c r="AF52" s="23">
        <f t="shared" si="22"/>
        <v>-13.369953070843607</v>
      </c>
      <c r="AG52" s="23"/>
      <c r="AH52" s="22">
        <v>683.9</v>
      </c>
      <c r="AI52" s="10">
        <f t="shared" si="43"/>
        <v>561.0498610908028</v>
      </c>
      <c r="AJ52" s="20">
        <v>383702</v>
      </c>
      <c r="AK52" s="20">
        <v>370629</v>
      </c>
      <c r="AL52" s="23">
        <f t="shared" si="55"/>
        <v>27.507644119621148</v>
      </c>
      <c r="AM52" s="23">
        <f t="shared" si="55"/>
        <v>-13.581519767885922</v>
      </c>
      <c r="AN52" s="23">
        <f t="shared" si="55"/>
        <v>10.190168227949158</v>
      </c>
      <c r="AO52" s="23">
        <f t="shared" si="55"/>
        <v>9.355572537553002</v>
      </c>
      <c r="AP52" s="23"/>
      <c r="AQ52" s="22">
        <v>647.94</v>
      </c>
      <c r="AR52" s="10">
        <f t="shared" si="82"/>
        <v>560.933111090533</v>
      </c>
      <c r="AS52" s="20">
        <v>363451</v>
      </c>
      <c r="AT52" s="20">
        <v>353503</v>
      </c>
      <c r="AU52" s="23">
        <f t="shared" si="74"/>
        <v>-5.25807866647169</v>
      </c>
      <c r="AV52" s="23">
        <f t="shared" si="75"/>
        <v>-0.020809202241451885</v>
      </c>
      <c r="AW52" s="23">
        <f t="shared" si="76"/>
        <v>-5.277793704489426</v>
      </c>
      <c r="AX52" s="23">
        <f t="shared" si="77"/>
        <v>-7.870430698823569</v>
      </c>
      <c r="AY52" s="23"/>
      <c r="AZ52" s="22">
        <v>638.81</v>
      </c>
      <c r="BA52" s="10">
        <f t="shared" si="83"/>
        <v>629.630093455018</v>
      </c>
      <c r="BB52" s="20">
        <v>402214</v>
      </c>
      <c r="BC52" s="20">
        <v>394623</v>
      </c>
      <c r="BD52" s="23">
        <f t="shared" si="59"/>
        <v>-1.4090810877550553</v>
      </c>
      <c r="BE52" s="23">
        <f t="shared" si="60"/>
        <v>12.246911620340683</v>
      </c>
      <c r="BF52" s="23">
        <f t="shared" si="61"/>
        <v>10.665261617109323</v>
      </c>
      <c r="BG52" s="23">
        <f t="shared" si="48"/>
        <v>8.576671958530866</v>
      </c>
      <c r="BH52" s="23"/>
      <c r="BI52" s="22">
        <v>629.71</v>
      </c>
      <c r="BJ52" s="10">
        <f t="shared" si="84"/>
        <v>632.170364135872</v>
      </c>
      <c r="BK52" s="20">
        <v>398084</v>
      </c>
      <c r="BL52" s="20">
        <v>389324</v>
      </c>
      <c r="BM52" s="23">
        <f t="shared" si="62"/>
        <v>-1.4245237237989272</v>
      </c>
      <c r="BN52" s="23">
        <f t="shared" si="63"/>
        <v>0.4034544579841395</v>
      </c>
      <c r="BO52" s="23">
        <f t="shared" si="64"/>
        <v>-1.0268165702834864</v>
      </c>
      <c r="BP52" s="23">
        <f t="shared" si="50"/>
        <v>-3.204761644298813</v>
      </c>
      <c r="BQ52" s="23"/>
      <c r="BR52" s="22">
        <v>586.56</v>
      </c>
      <c r="BS52" s="10">
        <f t="shared" si="85"/>
        <v>608.3657255864704</v>
      </c>
      <c r="BT52" s="20">
        <v>356843</v>
      </c>
      <c r="BU52" s="20">
        <v>347316</v>
      </c>
      <c r="BV52" s="23">
        <f t="shared" si="65"/>
        <v>-6.852360610439746</v>
      </c>
      <c r="BW52" s="23">
        <f t="shared" si="66"/>
        <v>-3.76554167988256</v>
      </c>
      <c r="BX52" s="23">
        <f t="shared" si="67"/>
        <v>-10.359873795480354</v>
      </c>
      <c r="BY52" s="23">
        <f t="shared" si="52"/>
        <v>-12.753087288110052</v>
      </c>
      <c r="BZ52" s="22"/>
      <c r="CA52" s="10" t="e">
        <f t="shared" si="86"/>
        <v>#DIV/0!</v>
      </c>
      <c r="CB52" s="20"/>
      <c r="CC52" s="20"/>
      <c r="CD52" s="23">
        <f t="shared" si="68"/>
        <v>-100</v>
      </c>
      <c r="CE52" s="23" t="e">
        <f t="shared" si="69"/>
        <v>#DIV/0!</v>
      </c>
      <c r="CF52" s="23">
        <f t="shared" si="70"/>
        <v>-100</v>
      </c>
      <c r="CG52" s="23">
        <f t="shared" si="71"/>
        <v>-100</v>
      </c>
    </row>
    <row r="53" spans="1:85" ht="12">
      <c r="A53" s="1" t="s">
        <v>49</v>
      </c>
      <c r="B53" s="19">
        <f>B51+B52</f>
        <v>1801.1599999999999</v>
      </c>
      <c r="C53" s="10">
        <f t="shared" si="18"/>
        <v>367.10453263452445</v>
      </c>
      <c r="D53" s="9">
        <f>D52+D51</f>
        <v>661214</v>
      </c>
      <c r="E53" s="9">
        <f>E52+E51</f>
        <v>643519</v>
      </c>
      <c r="F53" s="8"/>
      <c r="G53" s="19">
        <f>G51+G52</f>
        <v>1718.4099999999999</v>
      </c>
      <c r="H53" s="10">
        <f t="shared" si="19"/>
        <v>400.3613805785581</v>
      </c>
      <c r="I53" s="9">
        <f>I52+I51</f>
        <v>687985</v>
      </c>
      <c r="J53" s="9">
        <f>J52+J51</f>
        <v>667908</v>
      </c>
      <c r="K53" s="23">
        <f t="shared" si="78"/>
        <v>-4.594261475937728</v>
      </c>
      <c r="L53" s="23">
        <f t="shared" si="79"/>
        <v>9.059231087495974</v>
      </c>
      <c r="M53" s="23">
        <f t="shared" si="80"/>
        <v>4.048764847689256</v>
      </c>
      <c r="N53" s="23">
        <f t="shared" si="81"/>
        <v>3.7899424881005785</v>
      </c>
      <c r="O53" s="23"/>
      <c r="P53" s="19">
        <f>P51+P52</f>
        <v>1988.95</v>
      </c>
      <c r="Q53" s="10">
        <f t="shared" si="20"/>
        <v>341.5460418813947</v>
      </c>
      <c r="R53" s="9">
        <f>R52+R51</f>
        <v>679318</v>
      </c>
      <c r="S53" s="9">
        <f>S52+S51</f>
        <v>658504</v>
      </c>
      <c r="T53" s="23">
        <f t="shared" si="21"/>
        <v>15.743623465878358</v>
      </c>
      <c r="U53" s="23">
        <f t="shared" si="21"/>
        <v>-14.690562464384044</v>
      </c>
      <c r="V53" s="23">
        <f t="shared" si="21"/>
        <v>-1.259765837917982</v>
      </c>
      <c r="W53" s="23">
        <f t="shared" si="21"/>
        <v>-1.4079783443228706</v>
      </c>
      <c r="X53" s="23"/>
      <c r="Y53" s="19">
        <f>Y51+Y52</f>
        <v>1926.3600000000001</v>
      </c>
      <c r="Z53" s="10">
        <f t="shared" si="25"/>
        <v>320.1099482962686</v>
      </c>
      <c r="AA53" s="19">
        <f>AA51+AA52</f>
        <v>616647</v>
      </c>
      <c r="AB53" s="19">
        <f>AB51+AB52</f>
        <v>595980</v>
      </c>
      <c r="AC53" s="23">
        <f t="shared" si="22"/>
        <v>-3.146886548178685</v>
      </c>
      <c r="AD53" s="23">
        <f t="shared" si="22"/>
        <v>-6.276194409118617</v>
      </c>
      <c r="AE53" s="23">
        <f t="shared" si="22"/>
        <v>-9.225576239699222</v>
      </c>
      <c r="AF53" s="23">
        <f t="shared" si="22"/>
        <v>-9.494855004677262</v>
      </c>
      <c r="AG53" s="23"/>
      <c r="AH53" s="19">
        <f>AH51+AH52</f>
        <v>2113.9</v>
      </c>
      <c r="AI53" s="10">
        <f t="shared" si="43"/>
        <v>325.97899616821985</v>
      </c>
      <c r="AJ53" s="19">
        <f>AJ51+AJ52</f>
        <v>689087</v>
      </c>
      <c r="AK53" s="19">
        <f>AK51+AK52</f>
        <v>664305</v>
      </c>
      <c r="AL53" s="23">
        <f t="shared" si="55"/>
        <v>9.735459623331039</v>
      </c>
      <c r="AM53" s="23">
        <f t="shared" si="55"/>
        <v>1.833447508641413</v>
      </c>
      <c r="AN53" s="23">
        <f t="shared" si="55"/>
        <v>11.747401673891218</v>
      </c>
      <c r="AO53" s="23">
        <f t="shared" si="55"/>
        <v>11.464310882915541</v>
      </c>
      <c r="AP53" s="23"/>
      <c r="AQ53" s="19">
        <f>AQ51+AQ52</f>
        <v>1810.94</v>
      </c>
      <c r="AR53" s="6" t="s">
        <v>1</v>
      </c>
      <c r="AS53" s="19">
        <f>AS51+AS52</f>
        <v>591988</v>
      </c>
      <c r="AT53" s="19">
        <f>AT51+AT52</f>
        <v>572885</v>
      </c>
      <c r="AU53" s="23">
        <f t="shared" si="74"/>
        <v>-14.331803775013015</v>
      </c>
      <c r="AV53" s="23" t="e">
        <f t="shared" si="75"/>
        <v>#VALUE!</v>
      </c>
      <c r="AW53" s="23">
        <f t="shared" si="76"/>
        <v>-14.09096384056005</v>
      </c>
      <c r="AX53" s="23">
        <f t="shared" si="77"/>
        <v>-16.86318273309466</v>
      </c>
      <c r="AY53" s="23"/>
      <c r="AZ53" s="19">
        <f>AZ51+AZ52</f>
        <v>2074.81</v>
      </c>
      <c r="BA53" s="6" t="s">
        <v>1</v>
      </c>
      <c r="BB53" s="19">
        <f>BB51+BB52</f>
        <v>666953</v>
      </c>
      <c r="BC53" s="19">
        <f>BC51+BC52</f>
        <v>649293</v>
      </c>
      <c r="BD53" s="23">
        <f t="shared" si="59"/>
        <v>14.570885838293918</v>
      </c>
      <c r="BE53" s="23" t="e">
        <f t="shared" si="60"/>
        <v>#VALUE!</v>
      </c>
      <c r="BF53" s="23">
        <f t="shared" si="61"/>
        <v>12.663263444529278</v>
      </c>
      <c r="BG53" s="23">
        <f t="shared" si="48"/>
        <v>9.68009486678784</v>
      </c>
      <c r="BH53" s="23"/>
      <c r="BI53" s="19">
        <f>BI51+BI52</f>
        <v>2021.71</v>
      </c>
      <c r="BJ53" s="6" t="s">
        <v>1</v>
      </c>
      <c r="BK53" s="19">
        <f>BK51+BK52</f>
        <v>617013</v>
      </c>
      <c r="BL53" s="19">
        <f>BL51+BL52</f>
        <v>599181</v>
      </c>
      <c r="BM53" s="23">
        <f t="shared" si="62"/>
        <v>-2.559270487418118</v>
      </c>
      <c r="BN53" s="23" t="e">
        <f t="shared" si="63"/>
        <v>#VALUE!</v>
      </c>
      <c r="BO53" s="23">
        <f t="shared" si="64"/>
        <v>-7.487783996773388</v>
      </c>
      <c r="BP53" s="23">
        <f t="shared" si="50"/>
        <v>-10.161435663382576</v>
      </c>
      <c r="BQ53" s="23"/>
      <c r="BR53" s="19">
        <f>BR51+BR52</f>
        <v>1885.56</v>
      </c>
      <c r="BS53" s="6" t="s">
        <v>1</v>
      </c>
      <c r="BT53" s="19">
        <f>BT51+BT52</f>
        <v>577102</v>
      </c>
      <c r="BU53" s="19">
        <f>BU51+BU52</f>
        <v>555986</v>
      </c>
      <c r="BV53" s="23">
        <f t="shared" si="65"/>
        <v>-6.734398108531892</v>
      </c>
      <c r="BW53" s="23" t="e">
        <f t="shared" si="66"/>
        <v>#VALUE!</v>
      </c>
      <c r="BX53" s="23">
        <f t="shared" si="67"/>
        <v>-6.468421248822963</v>
      </c>
      <c r="BY53" s="23">
        <f t="shared" si="52"/>
        <v>-9.890715430631118</v>
      </c>
      <c r="BZ53" s="19">
        <f>BZ51+BZ52</f>
        <v>0</v>
      </c>
      <c r="CA53" s="6" t="s">
        <v>1</v>
      </c>
      <c r="CB53" s="19">
        <f>CB51+CB52</f>
        <v>0</v>
      </c>
      <c r="CC53" s="19">
        <f>CC51+CC52</f>
        <v>0</v>
      </c>
      <c r="CD53" s="23">
        <f t="shared" si="68"/>
        <v>-100</v>
      </c>
      <c r="CE53" s="23" t="e">
        <f t="shared" si="69"/>
        <v>#VALUE!</v>
      </c>
      <c r="CF53" s="23">
        <f t="shared" si="70"/>
        <v>-100</v>
      </c>
      <c r="CG53" s="23">
        <f t="shared" si="71"/>
        <v>-100</v>
      </c>
    </row>
    <row r="54" spans="1:85" ht="12">
      <c r="A54" s="1" t="s">
        <v>50</v>
      </c>
      <c r="B54" s="20">
        <v>12959</v>
      </c>
      <c r="C54" s="10">
        <f t="shared" si="18"/>
        <v>289.1912184582144</v>
      </c>
      <c r="D54" s="11">
        <v>3747629</v>
      </c>
      <c r="E54" s="11">
        <v>3714522</v>
      </c>
      <c r="F54" s="8"/>
      <c r="G54" s="20">
        <v>13045</v>
      </c>
      <c r="H54" s="10">
        <f t="shared" si="19"/>
        <v>306.53637408968956</v>
      </c>
      <c r="I54" s="11">
        <v>3998767</v>
      </c>
      <c r="J54" s="11">
        <v>3900192</v>
      </c>
      <c r="K54" s="23">
        <f t="shared" si="78"/>
        <v>0.6636314530442178</v>
      </c>
      <c r="L54" s="23">
        <f t="shared" si="79"/>
        <v>5.997815467547255</v>
      </c>
      <c r="M54" s="23">
        <f t="shared" si="80"/>
        <v>6.701250310529673</v>
      </c>
      <c r="N54" s="23">
        <f t="shared" si="81"/>
        <v>4.998489711462199</v>
      </c>
      <c r="O54" s="23"/>
      <c r="P54" s="20">
        <v>12671</v>
      </c>
      <c r="Q54" s="10">
        <f t="shared" si="20"/>
        <v>307.4694183568779</v>
      </c>
      <c r="R54" s="11">
        <v>3895945</v>
      </c>
      <c r="S54" s="11">
        <v>3844182</v>
      </c>
      <c r="T54" s="23">
        <f t="shared" si="21"/>
        <v>-2.866998850134152</v>
      </c>
      <c r="U54" s="23">
        <f t="shared" si="21"/>
        <v>0.3043828876619159</v>
      </c>
      <c r="V54" s="23">
        <f t="shared" si="21"/>
        <v>-2.571342616361491</v>
      </c>
      <c r="W54" s="23">
        <f t="shared" si="21"/>
        <v>-1.4360831466758555</v>
      </c>
      <c r="X54" s="23"/>
      <c r="Y54" s="20">
        <v>12603</v>
      </c>
      <c r="Z54" s="10">
        <f t="shared" si="25"/>
        <v>305.64135523288104</v>
      </c>
      <c r="AA54" s="20">
        <v>3851998</v>
      </c>
      <c r="AB54" s="20">
        <v>3808550</v>
      </c>
      <c r="AC54" s="23">
        <f t="shared" si="22"/>
        <v>-0.5366585115618392</v>
      </c>
      <c r="AD54" s="23">
        <f t="shared" si="22"/>
        <v>-0.5945512024467519</v>
      </c>
      <c r="AE54" s="23">
        <f t="shared" si="22"/>
        <v>-1.1280190043750622</v>
      </c>
      <c r="AF54" s="23">
        <f t="shared" si="22"/>
        <v>-0.9269072067867796</v>
      </c>
      <c r="AG54" s="23"/>
      <c r="AH54" s="20">
        <v>13004</v>
      </c>
      <c r="AI54" s="10">
        <f t="shared" si="43"/>
        <v>321.4788526607198</v>
      </c>
      <c r="AJ54" s="20">
        <v>4180511</v>
      </c>
      <c r="AK54" s="20">
        <v>4137935</v>
      </c>
      <c r="AL54" s="23">
        <f t="shared" si="55"/>
        <v>3.1817821153693586</v>
      </c>
      <c r="AM54" s="23">
        <f t="shared" si="55"/>
        <v>5.181725953207959</v>
      </c>
      <c r="AN54" s="23">
        <f t="shared" si="55"/>
        <v>8.528379298223939</v>
      </c>
      <c r="AO54" s="23">
        <f t="shared" si="55"/>
        <v>8.648567039949583</v>
      </c>
      <c r="AP54" s="23"/>
      <c r="AQ54" s="20">
        <v>10749</v>
      </c>
      <c r="AR54" s="10">
        <f>AS54/AQ54</f>
        <v>317.89571122895154</v>
      </c>
      <c r="AS54" s="20">
        <v>3417061</v>
      </c>
      <c r="AT54" s="20">
        <v>3374496</v>
      </c>
      <c r="AU54" s="23">
        <f t="shared" si="74"/>
        <v>-17.340818209781602</v>
      </c>
      <c r="AV54" s="23">
        <f t="shared" si="75"/>
        <v>-1.114580757680443</v>
      </c>
      <c r="AW54" s="23">
        <f t="shared" si="76"/>
        <v>-18.262121544471484</v>
      </c>
      <c r="AX54" s="23">
        <f t="shared" si="77"/>
        <v>-19.280298508962176</v>
      </c>
      <c r="AY54" s="23"/>
      <c r="AZ54" s="20">
        <v>11513</v>
      </c>
      <c r="BA54" s="10">
        <f>BB54/AZ54</f>
        <v>313.2026404933553</v>
      </c>
      <c r="BB54" s="20">
        <v>3605902</v>
      </c>
      <c r="BC54" s="20">
        <v>3509473</v>
      </c>
      <c r="BD54" s="23">
        <f t="shared" si="59"/>
        <v>7.107637919806493</v>
      </c>
      <c r="BE54" s="23">
        <f t="shared" si="60"/>
        <v>-1.4762925606807613</v>
      </c>
      <c r="BF54" s="23">
        <f t="shared" si="61"/>
        <v>5.526415829275507</v>
      </c>
      <c r="BG54" s="23">
        <f t="shared" si="48"/>
        <v>2.7044293326926265</v>
      </c>
      <c r="BH54" s="23"/>
      <c r="BI54" s="20">
        <v>12531</v>
      </c>
      <c r="BJ54" s="10">
        <f>BK54/BI54</f>
        <v>345.4223126645918</v>
      </c>
      <c r="BK54" s="20">
        <v>4328487</v>
      </c>
      <c r="BL54" s="20">
        <v>4251865</v>
      </c>
      <c r="BM54" s="23">
        <f t="shared" si="62"/>
        <v>8.842178407018153</v>
      </c>
      <c r="BN54" s="23">
        <f t="shared" si="63"/>
        <v>10.287164923157803</v>
      </c>
      <c r="BO54" s="23">
        <f t="shared" si="64"/>
        <v>20.03895280570576</v>
      </c>
      <c r="BP54" s="23">
        <f t="shared" si="50"/>
        <v>17.91404758088268</v>
      </c>
      <c r="BQ54" s="23"/>
      <c r="BR54" s="20">
        <v>11877</v>
      </c>
      <c r="BS54" s="10">
        <f>BT54/BR54</f>
        <v>324.97852993180095</v>
      </c>
      <c r="BT54" s="20">
        <v>3859770</v>
      </c>
      <c r="BU54" s="20">
        <v>3783004</v>
      </c>
      <c r="BV54" s="23">
        <f t="shared" si="65"/>
        <v>-5.219056739286572</v>
      </c>
      <c r="BW54" s="23">
        <f t="shared" si="66"/>
        <v>-5.91848933413921</v>
      </c>
      <c r="BX54" s="23">
        <f t="shared" si="67"/>
        <v>-10.828656756968428</v>
      </c>
      <c r="BY54" s="23">
        <f t="shared" si="52"/>
        <v>-12.602163296320398</v>
      </c>
      <c r="BZ54" s="20">
        <v>12702</v>
      </c>
      <c r="CA54" s="10">
        <f>CB54/BZ54</f>
        <v>337.78302629507164</v>
      </c>
      <c r="CB54" s="20">
        <v>4290520</v>
      </c>
      <c r="CC54" s="20">
        <v>4227423</v>
      </c>
      <c r="CD54" s="23">
        <f t="shared" si="68"/>
        <v>6.94619853498358</v>
      </c>
      <c r="CE54" s="23">
        <f t="shared" si="69"/>
        <v>3.9401053250987985</v>
      </c>
      <c r="CF54" s="23">
        <f t="shared" si="70"/>
        <v>11.159991398451197</v>
      </c>
      <c r="CG54" s="23">
        <f t="shared" si="71"/>
        <v>11.747780335415982</v>
      </c>
    </row>
    <row r="55" spans="1:85" ht="12">
      <c r="A55" s="1" t="s">
        <v>51</v>
      </c>
      <c r="B55" s="20">
        <v>9828</v>
      </c>
      <c r="C55" s="10">
        <f t="shared" si="18"/>
        <v>389.54639804639805</v>
      </c>
      <c r="D55" s="11">
        <v>3828462</v>
      </c>
      <c r="E55" s="11">
        <v>3627952</v>
      </c>
      <c r="F55" s="8"/>
      <c r="G55" s="20">
        <v>9805</v>
      </c>
      <c r="H55" s="10">
        <f t="shared" si="19"/>
        <v>388.4437531871494</v>
      </c>
      <c r="I55" s="11">
        <v>3808691</v>
      </c>
      <c r="J55" s="11">
        <v>3628561</v>
      </c>
      <c r="K55" s="23">
        <f t="shared" si="78"/>
        <v>-0.23402523402523911</v>
      </c>
      <c r="L55" s="23">
        <f t="shared" si="79"/>
        <v>-0.2830586715160166</v>
      </c>
      <c r="M55" s="23">
        <f t="shared" si="80"/>
        <v>-0.5164214768228135</v>
      </c>
      <c r="N55" s="23">
        <f t="shared" si="81"/>
        <v>0.016786330138870653</v>
      </c>
      <c r="O55" s="23"/>
      <c r="P55" s="20">
        <v>9635</v>
      </c>
      <c r="Q55" s="10">
        <f t="shared" si="20"/>
        <v>409.3151011935651</v>
      </c>
      <c r="R55" s="11">
        <v>3943751</v>
      </c>
      <c r="S55" s="11">
        <v>3804307</v>
      </c>
      <c r="T55" s="23">
        <f t="shared" si="21"/>
        <v>-1.733809280979088</v>
      </c>
      <c r="U55" s="23">
        <f t="shared" si="21"/>
        <v>5.373068258961055</v>
      </c>
      <c r="V55" s="23">
        <f t="shared" si="21"/>
        <v>3.546100221834749</v>
      </c>
      <c r="W55" s="23">
        <f t="shared" si="21"/>
        <v>4.843407620817175</v>
      </c>
      <c r="X55" s="23"/>
      <c r="Y55" s="20">
        <v>11176</v>
      </c>
      <c r="Z55" s="10">
        <f t="shared" si="25"/>
        <v>364.9157122405154</v>
      </c>
      <c r="AA55" s="20">
        <v>4078298</v>
      </c>
      <c r="AB55" s="20">
        <v>3924898</v>
      </c>
      <c r="AC55" s="23">
        <f t="shared" si="22"/>
        <v>15.993772703684485</v>
      </c>
      <c r="AD55" s="23">
        <f t="shared" si="22"/>
        <v>-10.847239406408619</v>
      </c>
      <c r="AE55" s="23">
        <f t="shared" si="22"/>
        <v>3.411650481990364</v>
      </c>
      <c r="AF55" s="23">
        <f t="shared" si="22"/>
        <v>3.1698545884966762</v>
      </c>
      <c r="AG55" s="23"/>
      <c r="AH55" s="20">
        <v>10719</v>
      </c>
      <c r="AI55" s="10">
        <f t="shared" si="43"/>
        <v>404.5792517958765</v>
      </c>
      <c r="AJ55" s="20">
        <v>4336685</v>
      </c>
      <c r="AK55" s="20">
        <v>3782200</v>
      </c>
      <c r="AL55" s="23">
        <f t="shared" si="55"/>
        <v>-4.089119541875448</v>
      </c>
      <c r="AM55" s="23">
        <f t="shared" si="55"/>
        <v>10.869233147521726</v>
      </c>
      <c r="AN55" s="23">
        <f t="shared" si="55"/>
        <v>6.335657668958959</v>
      </c>
      <c r="AO55" s="23">
        <f t="shared" si="55"/>
        <v>-3.6357123166003333</v>
      </c>
      <c r="AP55" s="23"/>
      <c r="AQ55" s="20">
        <v>8705</v>
      </c>
      <c r="AR55" s="10">
        <f>AS55/AQ55</f>
        <v>413.16002297530156</v>
      </c>
      <c r="AS55" s="20">
        <v>3596558</v>
      </c>
      <c r="AT55" s="20">
        <v>3473136</v>
      </c>
      <c r="AU55" s="23">
        <f t="shared" si="74"/>
        <v>-18.789066144229878</v>
      </c>
      <c r="AV55" s="23">
        <f t="shared" si="75"/>
        <v>2.1209123160261214</v>
      </c>
      <c r="AW55" s="23">
        <f t="shared" si="76"/>
        <v>-17.066653446123013</v>
      </c>
      <c r="AX55" s="23">
        <f t="shared" si="77"/>
        <v>-19.91265217556729</v>
      </c>
      <c r="AY55" s="23"/>
      <c r="AZ55" s="20">
        <v>10147</v>
      </c>
      <c r="BA55" s="10">
        <f>BB55/AZ55</f>
        <v>395.45658815413424</v>
      </c>
      <c r="BB55" s="20">
        <v>4012698</v>
      </c>
      <c r="BC55" s="20">
        <v>3845093</v>
      </c>
      <c r="BD55" s="23">
        <f t="shared" si="59"/>
        <v>16.565192418150488</v>
      </c>
      <c r="BE55" s="23">
        <f t="shared" si="60"/>
        <v>-4.2848857190197265</v>
      </c>
      <c r="BF55" s="23">
        <f t="shared" si="61"/>
        <v>11.570507134877289</v>
      </c>
      <c r="BG55" s="23">
        <f t="shared" si="48"/>
        <v>6.910357069175589</v>
      </c>
      <c r="BH55" s="23"/>
      <c r="BI55" s="20">
        <v>9471</v>
      </c>
      <c r="BJ55" s="10">
        <f>BK55/BI55</f>
        <v>405.33692323936225</v>
      </c>
      <c r="BK55" s="20">
        <v>3838946</v>
      </c>
      <c r="BL55" s="20">
        <v>3632380</v>
      </c>
      <c r="BM55" s="23">
        <f t="shared" si="62"/>
        <v>-6.6620676061890265</v>
      </c>
      <c r="BN55" s="23">
        <f t="shared" si="63"/>
        <v>2.4984626331163753</v>
      </c>
      <c r="BO55" s="23">
        <f t="shared" si="64"/>
        <v>-4.330054242806213</v>
      </c>
      <c r="BP55" s="23">
        <f t="shared" si="50"/>
        <v>-9.477862525413073</v>
      </c>
      <c r="BQ55" s="23"/>
      <c r="BR55" s="20">
        <v>9590</v>
      </c>
      <c r="BS55" s="10">
        <f>BT55/BR55</f>
        <v>452.2733055265902</v>
      </c>
      <c r="BT55" s="20">
        <v>4337301</v>
      </c>
      <c r="BU55" s="20">
        <v>4177279</v>
      </c>
      <c r="BV55" s="23">
        <f t="shared" si="65"/>
        <v>1.2564671101256408</v>
      </c>
      <c r="BW55" s="23">
        <f t="shared" si="66"/>
        <v>11.579597020701414</v>
      </c>
      <c r="BX55" s="23">
        <f t="shared" si="67"/>
        <v>12.98155795887726</v>
      </c>
      <c r="BY55" s="23">
        <f t="shared" si="52"/>
        <v>8.81317424105471</v>
      </c>
      <c r="BZ55" s="20"/>
      <c r="CA55" s="10" t="e">
        <f>CB55/BZ55</f>
        <v>#DIV/0!</v>
      </c>
      <c r="CB55" s="20"/>
      <c r="CC55" s="20"/>
      <c r="CD55" s="23">
        <f t="shared" si="68"/>
        <v>-100</v>
      </c>
      <c r="CE55" s="23" t="e">
        <f t="shared" si="69"/>
        <v>#DIV/0!</v>
      </c>
      <c r="CF55" s="23">
        <f t="shared" si="70"/>
        <v>-100</v>
      </c>
      <c r="CG55" s="23">
        <f t="shared" si="71"/>
        <v>-100</v>
      </c>
    </row>
    <row r="56" spans="1:85" ht="12">
      <c r="A56" s="1" t="s">
        <v>52</v>
      </c>
      <c r="B56" s="22">
        <v>1240.46</v>
      </c>
      <c r="C56" s="10">
        <f t="shared" si="18"/>
        <v>602.1693565290295</v>
      </c>
      <c r="D56" s="11">
        <v>746967</v>
      </c>
      <c r="E56" s="11">
        <v>716685</v>
      </c>
      <c r="F56" s="8"/>
      <c r="G56" s="22">
        <v>1285.74</v>
      </c>
      <c r="H56" s="10">
        <f t="shared" si="19"/>
        <v>583.2882231244264</v>
      </c>
      <c r="I56" s="11">
        <v>749957</v>
      </c>
      <c r="J56" s="11">
        <v>717463</v>
      </c>
      <c r="K56" s="23">
        <f t="shared" si="78"/>
        <v>3.650258774970567</v>
      </c>
      <c r="L56" s="23">
        <f t="shared" si="79"/>
        <v>-3.1355188037857147</v>
      </c>
      <c r="M56" s="23">
        <f t="shared" si="80"/>
        <v>0.4002854209088156</v>
      </c>
      <c r="N56" s="23">
        <f t="shared" si="81"/>
        <v>0.1085553625372313</v>
      </c>
      <c r="O56" s="23"/>
      <c r="P56" s="22">
        <v>1625.21</v>
      </c>
      <c r="Q56" s="10">
        <f t="shared" si="20"/>
        <v>515.3906264421213</v>
      </c>
      <c r="R56" s="11">
        <v>837618</v>
      </c>
      <c r="S56" s="11">
        <v>828752</v>
      </c>
      <c r="T56" s="23">
        <f t="shared" si="21"/>
        <v>26.402694168338854</v>
      </c>
      <c r="U56" s="23">
        <f t="shared" si="21"/>
        <v>-11.640488182430062</v>
      </c>
      <c r="V56" s="23">
        <f t="shared" si="21"/>
        <v>11.68880349140018</v>
      </c>
      <c r="W56" s="23">
        <f t="shared" si="21"/>
        <v>15.511461915109209</v>
      </c>
      <c r="X56" s="23"/>
      <c r="Y56" s="22">
        <v>1446.02</v>
      </c>
      <c r="Z56" s="10">
        <f t="shared" si="25"/>
        <v>609.8138338335569</v>
      </c>
      <c r="AA56" s="20">
        <v>881803</v>
      </c>
      <c r="AB56" s="20">
        <v>853682</v>
      </c>
      <c r="AC56" s="23">
        <f t="shared" si="22"/>
        <v>-11.025652069578697</v>
      </c>
      <c r="AD56" s="23">
        <f t="shared" si="22"/>
        <v>18.320707158231457</v>
      </c>
      <c r="AE56" s="23">
        <f t="shared" si="22"/>
        <v>5.2750776606997505</v>
      </c>
      <c r="AF56" s="23">
        <f t="shared" si="22"/>
        <v>3.0081375369229875</v>
      </c>
      <c r="AG56" s="23"/>
      <c r="AH56" s="22">
        <v>1584.68</v>
      </c>
      <c r="AI56" s="10">
        <f t="shared" si="43"/>
        <v>570.4861549334881</v>
      </c>
      <c r="AJ56" s="20">
        <v>904038</v>
      </c>
      <c r="AK56" s="20">
        <v>872917</v>
      </c>
      <c r="AL56" s="23">
        <f t="shared" si="55"/>
        <v>9.589078989225598</v>
      </c>
      <c r="AM56" s="23">
        <f t="shared" si="55"/>
        <v>-6.449128687822281</v>
      </c>
      <c r="AN56" s="23">
        <f t="shared" si="55"/>
        <v>2.521538257411237</v>
      </c>
      <c r="AO56" s="23">
        <f t="shared" si="55"/>
        <v>2.253180926855663</v>
      </c>
      <c r="AP56" s="23"/>
      <c r="AQ56" s="22">
        <v>1350.61</v>
      </c>
      <c r="AR56" s="10">
        <f>AS56/AQ56</f>
        <v>566.4869947653283</v>
      </c>
      <c r="AS56" s="20">
        <v>765103</v>
      </c>
      <c r="AT56" s="20">
        <v>740511</v>
      </c>
      <c r="AU56" s="23">
        <f t="shared" si="74"/>
        <v>-14.770805462301539</v>
      </c>
      <c r="AV56" s="23">
        <f t="shared" si="75"/>
        <v>-0.7010091539602996</v>
      </c>
      <c r="AW56" s="23">
        <f t="shared" si="76"/>
        <v>-15.368269917857432</v>
      </c>
      <c r="AX56" s="23">
        <f t="shared" si="77"/>
        <v>-18.08850955380194</v>
      </c>
      <c r="AY56" s="23"/>
      <c r="AZ56" s="22">
        <v>1630.98</v>
      </c>
      <c r="BA56" s="10">
        <f>BB56/AZ56</f>
        <v>545.1495419931575</v>
      </c>
      <c r="BB56" s="20">
        <v>889128</v>
      </c>
      <c r="BC56" s="20">
        <v>866837</v>
      </c>
      <c r="BD56" s="23">
        <f t="shared" si="59"/>
        <v>20.758768260267587</v>
      </c>
      <c r="BE56" s="23">
        <f t="shared" si="60"/>
        <v>-3.76662711930571</v>
      </c>
      <c r="BF56" s="23">
        <f t="shared" si="61"/>
        <v>16.2102357460368</v>
      </c>
      <c r="BG56" s="23">
        <f t="shared" si="48"/>
        <v>13.296771807194588</v>
      </c>
      <c r="BH56" s="23"/>
      <c r="BI56" s="22">
        <v>1952.66</v>
      </c>
      <c r="BJ56" s="10">
        <f>BK56/BI56</f>
        <v>471.1270779347147</v>
      </c>
      <c r="BK56" s="20">
        <v>919951</v>
      </c>
      <c r="BL56" s="20">
        <v>899953</v>
      </c>
      <c r="BM56" s="23">
        <f t="shared" si="62"/>
        <v>19.72311125826191</v>
      </c>
      <c r="BN56" s="23">
        <f t="shared" si="63"/>
        <v>-13.578377739767404</v>
      </c>
      <c r="BO56" s="23">
        <f t="shared" si="64"/>
        <v>3.4666549698131206</v>
      </c>
      <c r="BP56" s="23">
        <f t="shared" si="50"/>
        <v>1.21748499653593</v>
      </c>
      <c r="BQ56" s="23"/>
      <c r="BR56" s="20">
        <v>1990.51</v>
      </c>
      <c r="BS56" s="10">
        <f>BT56/BR56</f>
        <v>423.35883768481443</v>
      </c>
      <c r="BT56" s="20">
        <v>842700</v>
      </c>
      <c r="BU56" s="20">
        <v>768051</v>
      </c>
      <c r="BV56" s="23">
        <f t="shared" si="65"/>
        <v>1.9383814898651082</v>
      </c>
      <c r="BW56" s="23">
        <f t="shared" si="66"/>
        <v>-10.139141324523834</v>
      </c>
      <c r="BX56" s="23">
        <f t="shared" si="67"/>
        <v>-8.397295073324557</v>
      </c>
      <c r="BY56" s="23">
        <f t="shared" si="52"/>
        <v>-16.511748995326926</v>
      </c>
      <c r="BZ56" s="20"/>
      <c r="CA56" s="10" t="e">
        <f>CB56/BZ56</f>
        <v>#DIV/0!</v>
      </c>
      <c r="CB56" s="20"/>
      <c r="CC56" s="20"/>
      <c r="CD56" s="23">
        <f t="shared" si="68"/>
        <v>-100</v>
      </c>
      <c r="CE56" s="23" t="e">
        <f t="shared" si="69"/>
        <v>#DIV/0!</v>
      </c>
      <c r="CF56" s="23">
        <f t="shared" si="70"/>
        <v>-100</v>
      </c>
      <c r="CG56" s="23">
        <f t="shared" si="71"/>
        <v>-100</v>
      </c>
    </row>
    <row r="57" spans="1:85" ht="12">
      <c r="A57" s="1" t="s">
        <v>53</v>
      </c>
      <c r="B57" s="20">
        <f>B55+B56</f>
        <v>11068.46</v>
      </c>
      <c r="C57" s="10">
        <f t="shared" si="18"/>
        <v>413.37539278273584</v>
      </c>
      <c r="D57" s="11">
        <f>D56+D55</f>
        <v>4575429</v>
      </c>
      <c r="E57" s="11">
        <f>E56+E55</f>
        <v>4344637</v>
      </c>
      <c r="F57" s="8"/>
      <c r="G57" s="20">
        <f>G55+G56</f>
        <v>11090.74</v>
      </c>
      <c r="H57" s="10">
        <f t="shared" si="19"/>
        <v>411.03190589627025</v>
      </c>
      <c r="I57" s="11">
        <f>I56+I55</f>
        <v>4558648</v>
      </c>
      <c r="J57" s="11">
        <f>J56+J55</f>
        <v>4346024</v>
      </c>
      <c r="K57" s="23">
        <f t="shared" si="78"/>
        <v>0.20129268208947337</v>
      </c>
      <c r="L57" s="23">
        <f t="shared" si="79"/>
        <v>-0.5669149464098098</v>
      </c>
      <c r="M57" s="23">
        <f t="shared" si="80"/>
        <v>-0.3667634226211334</v>
      </c>
      <c r="N57" s="23">
        <f t="shared" si="81"/>
        <v>0.03192441624007358</v>
      </c>
      <c r="O57" s="23"/>
      <c r="P57" s="20">
        <f>P55+P56</f>
        <v>11260.21</v>
      </c>
      <c r="Q57" s="10">
        <f t="shared" si="20"/>
        <v>424.6252068123064</v>
      </c>
      <c r="R57" s="11">
        <f>R56+R55</f>
        <v>4781369</v>
      </c>
      <c r="S57" s="11">
        <f>S56+S55</f>
        <v>4633059</v>
      </c>
      <c r="T57" s="23">
        <f t="shared" si="21"/>
        <v>1.5280314929391636</v>
      </c>
      <c r="U57" s="23">
        <f t="shared" si="21"/>
        <v>3.3071157545289367</v>
      </c>
      <c r="V57" s="23">
        <f t="shared" si="21"/>
        <v>4.885681017705252</v>
      </c>
      <c r="W57" s="23">
        <f t="shared" si="21"/>
        <v>6.604542450754991</v>
      </c>
      <c r="X57" s="23"/>
      <c r="Y57" s="20">
        <f>Y55+Y56</f>
        <v>12622.02</v>
      </c>
      <c r="Z57" s="10">
        <f t="shared" si="25"/>
        <v>392.9720440943684</v>
      </c>
      <c r="AA57" s="20">
        <f>AA55+AA56</f>
        <v>4960101</v>
      </c>
      <c r="AB57" s="20">
        <f>AB55+AB56</f>
        <v>4778580</v>
      </c>
      <c r="AC57" s="23">
        <f t="shared" si="22"/>
        <v>12.094001799255977</v>
      </c>
      <c r="AD57" s="23">
        <f t="shared" si="22"/>
        <v>-7.454376756283665</v>
      </c>
      <c r="AE57" s="23">
        <f t="shared" si="22"/>
        <v>3.738092583944052</v>
      </c>
      <c r="AF57" s="23">
        <f t="shared" si="22"/>
        <v>3.140926977187206</v>
      </c>
      <c r="AG57" s="23"/>
      <c r="AH57" s="20">
        <f>AH55+AH56</f>
        <v>12303.68</v>
      </c>
      <c r="AI57" s="10">
        <f t="shared" si="43"/>
        <v>425.9476026684699</v>
      </c>
      <c r="AJ57" s="20">
        <f>AJ55+AJ56</f>
        <v>5240723</v>
      </c>
      <c r="AK57" s="20">
        <f>AK55+AK56</f>
        <v>4655117</v>
      </c>
      <c r="AL57" s="23">
        <f t="shared" si="55"/>
        <v>-2.5221002660429974</v>
      </c>
      <c r="AM57" s="23">
        <f t="shared" si="55"/>
        <v>8.3913242862087</v>
      </c>
      <c r="AN57" s="23">
        <f t="shared" si="55"/>
        <v>5.657586408018702</v>
      </c>
      <c r="AO57" s="23">
        <f t="shared" si="55"/>
        <v>-2.583675485185978</v>
      </c>
      <c r="AP57" s="23"/>
      <c r="AQ57" s="20">
        <f>AQ55+AQ56</f>
        <v>10055.61</v>
      </c>
      <c r="AR57" s="10" t="s">
        <v>1</v>
      </c>
      <c r="AS57" s="20">
        <f>AS55+AS56</f>
        <v>4361661</v>
      </c>
      <c r="AT57" s="20">
        <f>AT55+AT56</f>
        <v>4213647</v>
      </c>
      <c r="AU57" s="23">
        <f t="shared" si="74"/>
        <v>-18.271525267237124</v>
      </c>
      <c r="AV57" s="23" t="e">
        <f t="shared" si="75"/>
        <v>#VALUE!</v>
      </c>
      <c r="AW57" s="23">
        <f t="shared" si="76"/>
        <v>-16.773677982980587</v>
      </c>
      <c r="AX57" s="23">
        <f t="shared" si="77"/>
        <v>-19.59798295006243</v>
      </c>
      <c r="AY57" s="23"/>
      <c r="AZ57" s="20">
        <f>AZ55+AZ56</f>
        <v>11777.98</v>
      </c>
      <c r="BA57" s="10" t="s">
        <v>1</v>
      </c>
      <c r="BB57" s="20">
        <f>BB55+BB56</f>
        <v>4901826</v>
      </c>
      <c r="BC57" s="20">
        <f>BC55+BC56</f>
        <v>4711930</v>
      </c>
      <c r="BD57" s="23">
        <f t="shared" si="59"/>
        <v>17.128448696797108</v>
      </c>
      <c r="BE57" s="23" t="e">
        <f t="shared" si="60"/>
        <v>#VALUE!</v>
      </c>
      <c r="BF57" s="23">
        <f t="shared" si="61"/>
        <v>12.38438750741976</v>
      </c>
      <c r="BG57" s="23">
        <f t="shared" si="48"/>
        <v>8.030633283971397</v>
      </c>
      <c r="BH57" s="23"/>
      <c r="BI57" s="20">
        <f>BI55+BI56</f>
        <v>11423.66</v>
      </c>
      <c r="BJ57" s="10" t="s">
        <v>1</v>
      </c>
      <c r="BK57" s="20">
        <f>BK55+BK56</f>
        <v>4758897</v>
      </c>
      <c r="BL57" s="20">
        <f>BL55+BL56</f>
        <v>4532333</v>
      </c>
      <c r="BM57" s="23">
        <f t="shared" si="62"/>
        <v>-3.0083257061057935</v>
      </c>
      <c r="BN57" s="23" t="e">
        <f t="shared" si="63"/>
        <v>#VALUE!</v>
      </c>
      <c r="BO57" s="23">
        <f t="shared" si="64"/>
        <v>-2.915831773710451</v>
      </c>
      <c r="BP57" s="23">
        <f t="shared" si="50"/>
        <v>-7.537864461121217</v>
      </c>
      <c r="BQ57" s="23"/>
      <c r="BR57" s="20">
        <f>BR55+BR56</f>
        <v>11580.51</v>
      </c>
      <c r="BS57" s="10" t="s">
        <v>1</v>
      </c>
      <c r="BT57" s="20">
        <f>BT55+BT56</f>
        <v>5180001</v>
      </c>
      <c r="BU57" s="20">
        <f>BU55+BU56</f>
        <v>4945330</v>
      </c>
      <c r="BV57" s="23">
        <f t="shared" si="65"/>
        <v>1.3730275585933072</v>
      </c>
      <c r="BW57" s="23" t="e">
        <f t="shared" si="66"/>
        <v>#VALUE!</v>
      </c>
      <c r="BX57" s="23">
        <f t="shared" si="67"/>
        <v>8.848773150585103</v>
      </c>
      <c r="BY57" s="23">
        <f t="shared" si="52"/>
        <v>3.9175674531304168</v>
      </c>
      <c r="BZ57" s="20">
        <f>BZ55+BZ56</f>
        <v>0</v>
      </c>
      <c r="CA57" s="10" t="s">
        <v>1</v>
      </c>
      <c r="CB57" s="20">
        <f>CB55+CB56</f>
        <v>0</v>
      </c>
      <c r="CC57" s="20">
        <f>CC55+CC56</f>
        <v>0</v>
      </c>
      <c r="CD57" s="23">
        <f t="shared" si="68"/>
        <v>-100</v>
      </c>
      <c r="CE57" s="23" t="e">
        <f t="shared" si="69"/>
        <v>#VALUE!</v>
      </c>
      <c r="CF57" s="23">
        <f t="shared" si="70"/>
        <v>-100</v>
      </c>
      <c r="CG57" s="23">
        <f t="shared" si="71"/>
        <v>-100</v>
      </c>
    </row>
    <row r="58" spans="1:85" ht="12">
      <c r="A58" s="1" t="s">
        <v>54</v>
      </c>
      <c r="B58" s="20">
        <v>21235</v>
      </c>
      <c r="C58" s="10">
        <f t="shared" si="18"/>
        <v>90.65429715093006</v>
      </c>
      <c r="D58" s="11">
        <v>1925044</v>
      </c>
      <c r="E58" s="11">
        <v>1875805</v>
      </c>
      <c r="F58" s="8"/>
      <c r="G58" s="20">
        <v>20251</v>
      </c>
      <c r="H58" s="10">
        <f t="shared" si="19"/>
        <v>91.20986617944793</v>
      </c>
      <c r="I58" s="11">
        <v>1847091</v>
      </c>
      <c r="J58" s="11">
        <v>1796341</v>
      </c>
      <c r="K58" s="23">
        <f t="shared" si="78"/>
        <v>-4.633859194725687</v>
      </c>
      <c r="L58" s="23">
        <f t="shared" si="79"/>
        <v>0.6128435672419386</v>
      </c>
      <c r="M58" s="23">
        <f t="shared" si="80"/>
        <v>-4.04941393547368</v>
      </c>
      <c r="N58" s="23">
        <f t="shared" si="81"/>
        <v>-4.236261231844466</v>
      </c>
      <c r="O58" s="23"/>
      <c r="P58" s="20">
        <v>19237</v>
      </c>
      <c r="Q58" s="10">
        <f t="shared" si="20"/>
        <v>93.04163850912305</v>
      </c>
      <c r="R58" s="11">
        <v>1789842</v>
      </c>
      <c r="S58" s="11">
        <v>1743676</v>
      </c>
      <c r="T58" s="23">
        <f t="shared" si="21"/>
        <v>-5.007160140239989</v>
      </c>
      <c r="U58" s="23">
        <f t="shared" si="21"/>
        <v>2.008305029273089</v>
      </c>
      <c r="V58" s="23">
        <f t="shared" si="21"/>
        <v>-3.0994141598870897</v>
      </c>
      <c r="W58" s="23">
        <f t="shared" si="21"/>
        <v>-2.9317930170273883</v>
      </c>
      <c r="X58" s="23"/>
      <c r="Y58" s="20">
        <v>18194</v>
      </c>
      <c r="Z58" s="10">
        <f t="shared" si="25"/>
        <v>93.31829174453117</v>
      </c>
      <c r="AA58" s="20">
        <v>1697833</v>
      </c>
      <c r="AB58" s="20">
        <v>1677801</v>
      </c>
      <c r="AC58" s="23">
        <f t="shared" si="22"/>
        <v>-5.421843322763422</v>
      </c>
      <c r="AD58" s="23">
        <f t="shared" si="22"/>
        <v>0.2973434688394718</v>
      </c>
      <c r="AE58" s="23">
        <f t="shared" si="22"/>
        <v>-5.140621350934893</v>
      </c>
      <c r="AF58" s="23">
        <f t="shared" si="22"/>
        <v>-3.7779381031797215</v>
      </c>
      <c r="AG58" s="23"/>
      <c r="AH58" s="20">
        <v>19409</v>
      </c>
      <c r="AI58" s="10">
        <f t="shared" si="43"/>
        <v>88.21067545983821</v>
      </c>
      <c r="AJ58" s="20">
        <v>1712081</v>
      </c>
      <c r="AK58" s="20">
        <v>1670298</v>
      </c>
      <c r="AL58" s="23">
        <f t="shared" si="55"/>
        <v>6.678025722765753</v>
      </c>
      <c r="AM58" s="23">
        <f t="shared" si="55"/>
        <v>-5.473328100213834</v>
      </c>
      <c r="AN58" s="23">
        <f t="shared" si="55"/>
        <v>0.8391873641282785</v>
      </c>
      <c r="AO58" s="23">
        <f t="shared" si="55"/>
        <v>-0.4471924858788441</v>
      </c>
      <c r="AP58" s="23"/>
      <c r="AQ58" s="20">
        <v>16539</v>
      </c>
      <c r="AR58" s="10">
        <f>AS58/AQ58</f>
        <v>83.22032771026059</v>
      </c>
      <c r="AS58" s="20">
        <v>1376381</v>
      </c>
      <c r="AT58" s="20">
        <v>1341237</v>
      </c>
      <c r="AU58" s="23">
        <f t="shared" si="74"/>
        <v>-14.786954505641717</v>
      </c>
      <c r="AV58" s="23">
        <f t="shared" si="75"/>
        <v>-5.657305902673542</v>
      </c>
      <c r="AW58" s="23">
        <f t="shared" si="76"/>
        <v>-19.607717158241925</v>
      </c>
      <c r="AX58" s="23">
        <f t="shared" si="77"/>
        <v>-21.660423776678783</v>
      </c>
      <c r="AY58" s="23"/>
      <c r="AZ58" s="20">
        <v>18715</v>
      </c>
      <c r="BA58" s="10">
        <f>BB58/AZ58</f>
        <v>84.8324338765696</v>
      </c>
      <c r="BB58" s="20">
        <v>1587639</v>
      </c>
      <c r="BC58" s="20">
        <v>1550466</v>
      </c>
      <c r="BD58" s="23">
        <f t="shared" si="59"/>
        <v>13.156780942015843</v>
      </c>
      <c r="BE58" s="23">
        <f t="shared" si="60"/>
        <v>1.9371543115303496</v>
      </c>
      <c r="BF58" s="23">
        <f t="shared" si="61"/>
        <v>15.348802402823054</v>
      </c>
      <c r="BG58" s="23">
        <f t="shared" si="48"/>
        <v>12.648024057292275</v>
      </c>
      <c r="BH58" s="23"/>
      <c r="BI58" s="20">
        <v>15675</v>
      </c>
      <c r="BJ58" s="10">
        <f>BK58/BI58</f>
        <v>91.44229665071771</v>
      </c>
      <c r="BK58" s="20">
        <v>1433358</v>
      </c>
      <c r="BL58" s="20">
        <v>1399378</v>
      </c>
      <c r="BM58" s="23">
        <f t="shared" si="62"/>
        <v>-16.24365482233503</v>
      </c>
      <c r="BN58" s="23">
        <f t="shared" si="63"/>
        <v>7.791669379385482</v>
      </c>
      <c r="BO58" s="23">
        <f t="shared" si="64"/>
        <v>-9.717637321834502</v>
      </c>
      <c r="BP58" s="23">
        <f t="shared" si="50"/>
        <v>-11.857922361443627</v>
      </c>
      <c r="BQ58" s="23"/>
      <c r="BR58" s="20">
        <v>16220</v>
      </c>
      <c r="BS58" s="10">
        <f>BT58/BR58</f>
        <v>83.0693588162762</v>
      </c>
      <c r="BT58" s="20">
        <v>1347385</v>
      </c>
      <c r="BU58" s="20">
        <v>1290478</v>
      </c>
      <c r="BV58" s="23">
        <f t="shared" si="65"/>
        <v>3.476874003189792</v>
      </c>
      <c r="BW58" s="23">
        <f t="shared" si="66"/>
        <v>-9.156526182214819</v>
      </c>
      <c r="BX58" s="23">
        <f t="shared" si="67"/>
        <v>-5.998013057449711</v>
      </c>
      <c r="BY58" s="23">
        <f t="shared" si="52"/>
        <v>-9.968200547246397</v>
      </c>
      <c r="BZ58" s="20">
        <v>16733</v>
      </c>
      <c r="CA58" s="10">
        <f>CB58/BZ58</f>
        <v>82.84055459272098</v>
      </c>
      <c r="CB58" s="20">
        <v>1386171</v>
      </c>
      <c r="CC58" s="20">
        <v>1352158</v>
      </c>
      <c r="CD58" s="23">
        <f t="shared" si="68"/>
        <v>3.1627620221948263</v>
      </c>
      <c r="CE58" s="23">
        <f t="shared" si="69"/>
        <v>-0.27543757026134585</v>
      </c>
      <c r="CF58" s="23">
        <f t="shared" si="70"/>
        <v>2.8786130170663853</v>
      </c>
      <c r="CG58" s="23">
        <f t="shared" si="71"/>
        <v>4.77962429425375</v>
      </c>
    </row>
    <row r="59" spans="1:85" ht="12">
      <c r="A59" s="1" t="s">
        <v>55</v>
      </c>
      <c r="B59" s="22">
        <v>894.51</v>
      </c>
      <c r="C59" s="10">
        <f t="shared" si="18"/>
        <v>212.15972990799432</v>
      </c>
      <c r="D59" s="11">
        <v>189779</v>
      </c>
      <c r="E59" s="11">
        <v>181483</v>
      </c>
      <c r="F59" s="8"/>
      <c r="G59" s="22">
        <v>790.3</v>
      </c>
      <c r="H59" s="10">
        <f t="shared" si="19"/>
        <v>238.21839807667976</v>
      </c>
      <c r="I59" s="11">
        <v>188264</v>
      </c>
      <c r="J59" s="11">
        <v>177927</v>
      </c>
      <c r="K59" s="23">
        <f t="shared" si="78"/>
        <v>-11.64995360588479</v>
      </c>
      <c r="L59" s="23">
        <f t="shared" si="79"/>
        <v>12.282570391650722</v>
      </c>
      <c r="M59" s="23">
        <f t="shared" si="80"/>
        <v>-0.7982969664715256</v>
      </c>
      <c r="N59" s="23">
        <f t="shared" si="81"/>
        <v>-1.9594121763471009</v>
      </c>
      <c r="O59" s="23"/>
      <c r="P59" s="22">
        <v>871.27</v>
      </c>
      <c r="Q59" s="10">
        <f t="shared" si="20"/>
        <v>214.79793864129374</v>
      </c>
      <c r="R59" s="11">
        <v>187147</v>
      </c>
      <c r="S59" s="11">
        <v>178460</v>
      </c>
      <c r="T59" s="23">
        <f t="shared" si="21"/>
        <v>10.245476401366574</v>
      </c>
      <c r="U59" s="23">
        <f t="shared" si="21"/>
        <v>-9.831507400132566</v>
      </c>
      <c r="V59" s="23">
        <f t="shared" si="21"/>
        <v>-0.5933157693451818</v>
      </c>
      <c r="W59" s="23">
        <f t="shared" si="21"/>
        <v>0.29956105593866766</v>
      </c>
      <c r="X59" s="23"/>
      <c r="Y59" s="22">
        <v>832.61</v>
      </c>
      <c r="Z59" s="10">
        <f t="shared" si="25"/>
        <v>225.09218001225062</v>
      </c>
      <c r="AA59" s="20">
        <v>187414</v>
      </c>
      <c r="AB59" s="20">
        <v>179722</v>
      </c>
      <c r="AC59" s="23">
        <f t="shared" si="22"/>
        <v>-4.437200867698877</v>
      </c>
      <c r="AD59" s="23">
        <f t="shared" si="22"/>
        <v>4.792523352911658</v>
      </c>
      <c r="AE59" s="23">
        <f t="shared" si="22"/>
        <v>0.14266859741272242</v>
      </c>
      <c r="AF59" s="23">
        <f t="shared" si="22"/>
        <v>0.7071612686316229</v>
      </c>
      <c r="AG59" s="23"/>
      <c r="AH59" s="22">
        <v>882.5</v>
      </c>
      <c r="AI59" s="10">
        <f t="shared" si="43"/>
        <v>217.31331444759206</v>
      </c>
      <c r="AJ59" s="20">
        <v>191779</v>
      </c>
      <c r="AK59" s="20">
        <v>185000</v>
      </c>
      <c r="AL59" s="23">
        <f t="shared" si="55"/>
        <v>5.9920010569174025</v>
      </c>
      <c r="AM59" s="23">
        <f t="shared" si="55"/>
        <v>-3.455857757579679</v>
      </c>
      <c r="AN59" s="23">
        <f t="shared" si="55"/>
        <v>2.3290682659779947</v>
      </c>
      <c r="AO59" s="23">
        <f t="shared" si="55"/>
        <v>2.9367578816171687</v>
      </c>
      <c r="AP59" s="23"/>
      <c r="AQ59" s="22">
        <v>716.95</v>
      </c>
      <c r="AR59" s="10">
        <f>AS59/AQ59</f>
        <v>217.78227212497384</v>
      </c>
      <c r="AS59" s="20">
        <v>156139</v>
      </c>
      <c r="AT59" s="20">
        <v>149470</v>
      </c>
      <c r="AU59" s="23">
        <f t="shared" si="74"/>
        <v>-18.759206798866856</v>
      </c>
      <c r="AV59" s="23">
        <f t="shared" si="75"/>
        <v>0.21579794987430034</v>
      </c>
      <c r="AW59" s="23">
        <f t="shared" si="76"/>
        <v>-18.5838908326772</v>
      </c>
      <c r="AX59" s="23">
        <f t="shared" si="77"/>
        <v>-22.06133101121604</v>
      </c>
      <c r="AY59" s="23"/>
      <c r="AZ59" s="22">
        <v>930.58</v>
      </c>
      <c r="BA59" s="10">
        <f>BB59/AZ59</f>
        <v>261.9764018139225</v>
      </c>
      <c r="BB59" s="20">
        <v>243790</v>
      </c>
      <c r="BC59" s="20">
        <v>234573</v>
      </c>
      <c r="BD59" s="23">
        <f t="shared" si="59"/>
        <v>29.797056977474</v>
      </c>
      <c r="BE59" s="23">
        <f t="shared" si="60"/>
        <v>20.292804027495848</v>
      </c>
      <c r="BF59" s="23">
        <f t="shared" si="61"/>
        <v>56.136519383369944</v>
      </c>
      <c r="BG59" s="23">
        <f t="shared" si="48"/>
        <v>50.233445839924684</v>
      </c>
      <c r="BH59" s="23"/>
      <c r="BI59" s="22">
        <v>914.96</v>
      </c>
      <c r="BJ59" s="10">
        <f>BK59/BI59</f>
        <v>275.7399230567456</v>
      </c>
      <c r="BK59" s="20">
        <v>252291</v>
      </c>
      <c r="BL59" s="20">
        <v>243875</v>
      </c>
      <c r="BM59" s="23">
        <f t="shared" si="62"/>
        <v>-1.6785230716327533</v>
      </c>
      <c r="BN59" s="23">
        <f t="shared" si="63"/>
        <v>5.253725582733637</v>
      </c>
      <c r="BO59" s="23">
        <f t="shared" si="64"/>
        <v>3.487017515074456</v>
      </c>
      <c r="BP59" s="23">
        <f t="shared" si="50"/>
        <v>0.03486607325977786</v>
      </c>
      <c r="BQ59" s="23"/>
      <c r="BR59" s="22">
        <v>838.84</v>
      </c>
      <c r="BS59" s="10">
        <f>BT59/BR59</f>
        <v>242.98197510848314</v>
      </c>
      <c r="BT59" s="20">
        <v>203823</v>
      </c>
      <c r="BU59" s="20">
        <v>196653</v>
      </c>
      <c r="BV59" s="23">
        <f t="shared" si="65"/>
        <v>-8.31948937658477</v>
      </c>
      <c r="BW59" s="23">
        <f t="shared" si="66"/>
        <v>-11.880016352046752</v>
      </c>
      <c r="BX59" s="23">
        <f t="shared" si="67"/>
        <v>-19.21114903028645</v>
      </c>
      <c r="BY59" s="23">
        <f t="shared" si="52"/>
        <v>-22.053105342640052</v>
      </c>
      <c r="BZ59" s="22"/>
      <c r="CA59" s="10" t="e">
        <f>CB59/BZ59</f>
        <v>#DIV/0!</v>
      </c>
      <c r="CB59" s="20"/>
      <c r="CC59" s="20"/>
      <c r="CD59" s="23">
        <f t="shared" si="68"/>
        <v>-100</v>
      </c>
      <c r="CE59" s="23" t="e">
        <f t="shared" si="69"/>
        <v>#DIV/0!</v>
      </c>
      <c r="CF59" s="23">
        <f t="shared" si="70"/>
        <v>-100</v>
      </c>
      <c r="CG59" s="23">
        <f t="shared" si="71"/>
        <v>-100</v>
      </c>
    </row>
    <row r="60" spans="1:85" ht="12">
      <c r="A60" s="1" t="s">
        <v>56</v>
      </c>
      <c r="B60" s="19">
        <f>B59+B58</f>
        <v>22129.51</v>
      </c>
      <c r="C60" s="10">
        <f t="shared" si="18"/>
        <v>95.5657400457579</v>
      </c>
      <c r="D60" s="9">
        <f>D59+D58</f>
        <v>2114823</v>
      </c>
      <c r="E60" s="9">
        <f>E59+E58</f>
        <v>2057288</v>
      </c>
      <c r="F60" s="8"/>
      <c r="G60" s="19">
        <f>G59+G58</f>
        <v>21041.3</v>
      </c>
      <c r="H60" s="10">
        <f t="shared" si="19"/>
        <v>96.73142819122393</v>
      </c>
      <c r="I60" s="9">
        <f>I59+I58</f>
        <v>2035355</v>
      </c>
      <c r="J60" s="9">
        <f>J59+J58</f>
        <v>1974268</v>
      </c>
      <c r="K60" s="23">
        <f t="shared" si="78"/>
        <v>-4.9174608927174575</v>
      </c>
      <c r="L60" s="23">
        <f t="shared" si="79"/>
        <v>1.219776192710782</v>
      </c>
      <c r="M60" s="23">
        <f t="shared" si="80"/>
        <v>-3.7576667172619125</v>
      </c>
      <c r="N60" s="23">
        <f t="shared" si="81"/>
        <v>-4.035409723869478</v>
      </c>
      <c r="O60" s="23"/>
      <c r="P60" s="19">
        <f>P59+P58</f>
        <v>20108.27</v>
      </c>
      <c r="Q60" s="10">
        <f t="shared" si="20"/>
        <v>98.31720978482983</v>
      </c>
      <c r="R60" s="9">
        <f>R59+R58</f>
        <v>1976989</v>
      </c>
      <c r="S60" s="9">
        <f>S59+S58</f>
        <v>1922136</v>
      </c>
      <c r="T60" s="23">
        <f t="shared" si="21"/>
        <v>-4.434279250806739</v>
      </c>
      <c r="U60" s="23">
        <f t="shared" si="21"/>
        <v>1.6393654298901055</v>
      </c>
      <c r="V60" s="23">
        <f t="shared" si="21"/>
        <v>-2.867607862019156</v>
      </c>
      <c r="W60" s="23">
        <f t="shared" si="21"/>
        <v>-2.6405736201974577</v>
      </c>
      <c r="X60" s="23"/>
      <c r="Y60" s="19">
        <f>Y59+Y58</f>
        <v>19026.61</v>
      </c>
      <c r="Z60" s="10">
        <f t="shared" si="25"/>
        <v>99.08475550820665</v>
      </c>
      <c r="AA60" s="19">
        <f>AA59+AA58</f>
        <v>1885247</v>
      </c>
      <c r="AB60" s="19">
        <f>AB59+AB58</f>
        <v>1857523</v>
      </c>
      <c r="AC60" s="23">
        <f t="shared" si="22"/>
        <v>-5.379179810098037</v>
      </c>
      <c r="AD60" s="23">
        <f t="shared" si="22"/>
        <v>0.7806829801787671</v>
      </c>
      <c r="AE60" s="23">
        <f t="shared" si="22"/>
        <v>-4.640491171169899</v>
      </c>
      <c r="AF60" s="23">
        <f t="shared" si="22"/>
        <v>-3.361520724860256</v>
      </c>
      <c r="AG60" s="23"/>
      <c r="AH60" s="19">
        <f>AH59+AH58</f>
        <v>20291.5</v>
      </c>
      <c r="AI60" s="10">
        <f t="shared" si="43"/>
        <v>93.82549343321095</v>
      </c>
      <c r="AJ60" s="19">
        <f>AJ59+AJ58</f>
        <v>1903860</v>
      </c>
      <c r="AK60" s="19">
        <f>AK59+AK58</f>
        <v>1855298</v>
      </c>
      <c r="AL60" s="23">
        <f t="shared" si="55"/>
        <v>6.648005083406872</v>
      </c>
      <c r="AM60" s="23">
        <f t="shared" si="55"/>
        <v>-5.307841804746744</v>
      </c>
      <c r="AN60" s="23">
        <f t="shared" si="55"/>
        <v>0.9872976856613462</v>
      </c>
      <c r="AO60" s="23">
        <f t="shared" si="55"/>
        <v>-0.11978317361345603</v>
      </c>
      <c r="AP60" s="23"/>
      <c r="AQ60" s="19">
        <f>AQ59+AQ58</f>
        <v>17255.95</v>
      </c>
      <c r="AR60" s="6" t="s">
        <v>1</v>
      </c>
      <c r="AS60" s="19">
        <f>AS59+AS58</f>
        <v>1532520</v>
      </c>
      <c r="AT60" s="19">
        <f>AT59+AT58</f>
        <v>1490707</v>
      </c>
      <c r="AU60" s="23">
        <f t="shared" si="74"/>
        <v>-14.959712194761352</v>
      </c>
      <c r="AV60" s="23" t="e">
        <f t="shared" si="75"/>
        <v>#VALUE!</v>
      </c>
      <c r="AW60" s="23">
        <f t="shared" si="76"/>
        <v>-19.504585421196936</v>
      </c>
      <c r="AX60" s="23">
        <f t="shared" si="77"/>
        <v>-21.700807832508687</v>
      </c>
      <c r="AY60" s="23"/>
      <c r="AZ60" s="19">
        <f>AZ59+AZ58</f>
        <v>19645.58</v>
      </c>
      <c r="BA60" s="6" t="s">
        <v>1</v>
      </c>
      <c r="BB60" s="19">
        <f>BB59+BB58</f>
        <v>1831429</v>
      </c>
      <c r="BC60" s="19">
        <f>BC59+BC58</f>
        <v>1785039</v>
      </c>
      <c r="BD60" s="23">
        <f t="shared" si="59"/>
        <v>13.848150927651048</v>
      </c>
      <c r="BE60" s="23" t="e">
        <f t="shared" si="60"/>
        <v>#VALUE!</v>
      </c>
      <c r="BF60" s="23">
        <f t="shared" si="61"/>
        <v>19.504411035418784</v>
      </c>
      <c r="BG60" s="23">
        <f t="shared" si="48"/>
        <v>16.477370605277585</v>
      </c>
      <c r="BH60" s="23"/>
      <c r="BI60" s="19">
        <f>BI59+BI58</f>
        <v>16589.96</v>
      </c>
      <c r="BJ60" s="6" t="s">
        <v>1</v>
      </c>
      <c r="BK60" s="19">
        <f>BK59+BK58</f>
        <v>1685649</v>
      </c>
      <c r="BL60" s="19">
        <f>BL59+BL58</f>
        <v>1643253</v>
      </c>
      <c r="BM60" s="23">
        <f t="shared" si="62"/>
        <v>-15.55372760692228</v>
      </c>
      <c r="BN60" s="23" t="e">
        <f t="shared" si="63"/>
        <v>#VALUE!</v>
      </c>
      <c r="BO60" s="23">
        <f t="shared" si="64"/>
        <v>-7.959904533563687</v>
      </c>
      <c r="BP60" s="23">
        <f t="shared" si="50"/>
        <v>-10.274818188420085</v>
      </c>
      <c r="BQ60" s="23"/>
      <c r="BR60" s="19">
        <f>BR59+BR58</f>
        <v>17058.84</v>
      </c>
      <c r="BS60" s="6" t="s">
        <v>1</v>
      </c>
      <c r="BT60" s="19">
        <f>BT59+BT58</f>
        <v>1551208</v>
      </c>
      <c r="BU60" s="19">
        <f>BU59+BU58</f>
        <v>1487131</v>
      </c>
      <c r="BV60" s="23">
        <f t="shared" si="65"/>
        <v>2.826287706540583</v>
      </c>
      <c r="BW60" s="23" t="e">
        <f t="shared" si="66"/>
        <v>#VALUE!</v>
      </c>
      <c r="BX60" s="23">
        <f t="shared" si="67"/>
        <v>-7.975622445716752</v>
      </c>
      <c r="BY60" s="23">
        <f t="shared" si="52"/>
        <v>-11.776947632632897</v>
      </c>
      <c r="BZ60" s="19">
        <f>BZ59+BZ58</f>
        <v>16733</v>
      </c>
      <c r="CA60" s="6" t="s">
        <v>1</v>
      </c>
      <c r="CB60" s="19">
        <f>CB59+CB58</f>
        <v>1386171</v>
      </c>
      <c r="CC60" s="19">
        <f>CC59+CC58</f>
        <v>1352158</v>
      </c>
      <c r="CD60" s="23">
        <f t="shared" si="68"/>
        <v>-1.910094707494764</v>
      </c>
      <c r="CE60" s="23" t="e">
        <f t="shared" si="69"/>
        <v>#VALUE!</v>
      </c>
      <c r="CF60" s="23">
        <f t="shared" si="70"/>
        <v>-10.639256630961157</v>
      </c>
      <c r="CG60" s="23">
        <f t="shared" si="71"/>
        <v>-9.076066600723138</v>
      </c>
    </row>
    <row r="61" spans="1:85" ht="12">
      <c r="A61" s="1" t="s">
        <v>58</v>
      </c>
      <c r="B61" s="20">
        <v>9792</v>
      </c>
      <c r="C61" s="10">
        <f t="shared" si="18"/>
        <v>62.877144607843135</v>
      </c>
      <c r="D61" s="11">
        <v>615693</v>
      </c>
      <c r="E61" s="11">
        <v>591369</v>
      </c>
      <c r="F61" s="8"/>
      <c r="G61" s="20">
        <v>9547</v>
      </c>
      <c r="H61" s="10">
        <f t="shared" si="19"/>
        <v>63.03718445585</v>
      </c>
      <c r="I61" s="11">
        <v>601816</v>
      </c>
      <c r="J61" s="11">
        <v>577349</v>
      </c>
      <c r="K61" s="23">
        <f t="shared" si="78"/>
        <v>-2.5020424836601336</v>
      </c>
      <c r="L61" s="23">
        <f t="shared" si="79"/>
        <v>0.254527855876745</v>
      </c>
      <c r="M61" s="23">
        <f t="shared" si="80"/>
        <v>-2.25388302287017</v>
      </c>
      <c r="N61" s="23">
        <f t="shared" si="81"/>
        <v>-2.3707701959351937</v>
      </c>
      <c r="O61" s="23"/>
      <c r="P61" s="20">
        <v>8563</v>
      </c>
      <c r="Q61" s="10">
        <f t="shared" si="20"/>
        <v>64.24150414574332</v>
      </c>
      <c r="R61" s="11">
        <v>550100</v>
      </c>
      <c r="S61" s="11">
        <v>511282</v>
      </c>
      <c r="T61" s="23">
        <f t="shared" si="21"/>
        <v>-10.306902691945112</v>
      </c>
      <c r="U61" s="23">
        <f t="shared" si="21"/>
        <v>1.9104909273617636</v>
      </c>
      <c r="V61" s="23">
        <f t="shared" si="21"/>
        <v>-8.593324205404969</v>
      </c>
      <c r="W61" s="23">
        <f t="shared" si="21"/>
        <v>-11.443165225885906</v>
      </c>
      <c r="X61" s="23"/>
      <c r="Y61" s="20">
        <v>8487</v>
      </c>
      <c r="Z61" s="10">
        <f t="shared" si="25"/>
        <v>64.47095557912101</v>
      </c>
      <c r="AA61" s="20">
        <v>547165</v>
      </c>
      <c r="AB61" s="20">
        <v>508367</v>
      </c>
      <c r="AC61" s="23">
        <f t="shared" si="22"/>
        <v>-0.8875394137568549</v>
      </c>
      <c r="AD61" s="23">
        <f t="shared" si="22"/>
        <v>0.3571700825328463</v>
      </c>
      <c r="AE61" s="23">
        <f t="shared" si="22"/>
        <v>-0.5335393564806452</v>
      </c>
      <c r="AF61" s="23">
        <f t="shared" si="22"/>
        <v>-0.5701354634037585</v>
      </c>
      <c r="AG61" s="23"/>
      <c r="AH61" s="20">
        <v>7440</v>
      </c>
      <c r="AI61" s="10">
        <f t="shared" si="43"/>
        <v>66.03131720430108</v>
      </c>
      <c r="AJ61" s="20">
        <v>491273</v>
      </c>
      <c r="AK61" s="20">
        <v>473610</v>
      </c>
      <c r="AL61" s="23">
        <f t="shared" si="55"/>
        <v>-12.33651466949452</v>
      </c>
      <c r="AM61" s="23">
        <f t="shared" si="55"/>
        <v>2.420255153912109</v>
      </c>
      <c r="AN61" s="23">
        <f t="shared" si="55"/>
        <v>-10.214834647683972</v>
      </c>
      <c r="AO61" s="23">
        <f t="shared" si="55"/>
        <v>-6.836989812477995</v>
      </c>
      <c r="AP61" s="23"/>
      <c r="AQ61" s="20">
        <v>6515</v>
      </c>
      <c r="AR61" s="10">
        <f>AS61/AQ61</f>
        <v>66.68779739063699</v>
      </c>
      <c r="AS61" s="20">
        <v>434471</v>
      </c>
      <c r="AT61" s="20">
        <v>406496</v>
      </c>
      <c r="AU61" s="23">
        <f t="shared" si="74"/>
        <v>-12.432795698924735</v>
      </c>
      <c r="AV61" s="23">
        <f t="shared" si="75"/>
        <v>0.9941952002937597</v>
      </c>
      <c r="AW61" s="23">
        <f t="shared" si="76"/>
        <v>-11.562206756731996</v>
      </c>
      <c r="AX61" s="23">
        <f t="shared" si="77"/>
        <v>-17.256596637714665</v>
      </c>
      <c r="AY61" s="23"/>
      <c r="AZ61" s="20">
        <v>9235</v>
      </c>
      <c r="BA61" s="10">
        <f>BB61/AZ61</f>
        <v>65.20368164591228</v>
      </c>
      <c r="BB61" s="20">
        <v>602156</v>
      </c>
      <c r="BC61" s="20">
        <v>566226</v>
      </c>
      <c r="BD61" s="23">
        <f t="shared" si="59"/>
        <v>41.7498081350729</v>
      </c>
      <c r="BE61" s="23">
        <f t="shared" si="60"/>
        <v>-2.225468230763724</v>
      </c>
      <c r="BF61" s="23">
        <f t="shared" si="61"/>
        <v>38.595211187858325</v>
      </c>
      <c r="BG61" s="23">
        <f t="shared" si="48"/>
        <v>30.325384202858174</v>
      </c>
      <c r="BH61" s="23"/>
      <c r="BI61" s="20">
        <v>8484</v>
      </c>
      <c r="BJ61" s="10">
        <f>BK61/BI61</f>
        <v>65.21546440358321</v>
      </c>
      <c r="BK61" s="20">
        <v>553288</v>
      </c>
      <c r="BL61" s="20">
        <v>515526</v>
      </c>
      <c r="BM61" s="23">
        <f t="shared" si="62"/>
        <v>-8.132106118029242</v>
      </c>
      <c r="BN61" s="23">
        <f t="shared" si="63"/>
        <v>0.01807069382203963</v>
      </c>
      <c r="BO61" s="23">
        <f t="shared" si="64"/>
        <v>-8.115504952205072</v>
      </c>
      <c r="BP61" s="23">
        <f t="shared" si="50"/>
        <v>-14.386637349789751</v>
      </c>
      <c r="BQ61" s="23"/>
      <c r="BR61" s="20">
        <v>7914</v>
      </c>
      <c r="BS61" s="10">
        <f>BT61/BR61</f>
        <v>62.985089714430124</v>
      </c>
      <c r="BT61" s="20">
        <v>498464</v>
      </c>
      <c r="BU61" s="20">
        <v>465274</v>
      </c>
      <c r="BV61" s="23">
        <f t="shared" si="65"/>
        <v>-6.718528995756714</v>
      </c>
      <c r="BW61" s="23">
        <f t="shared" si="66"/>
        <v>-3.4200089036405643</v>
      </c>
      <c r="BX61" s="23">
        <f t="shared" si="67"/>
        <v>-9.908763609548728</v>
      </c>
      <c r="BY61" s="23">
        <f t="shared" si="52"/>
        <v>-15.907447839100072</v>
      </c>
      <c r="BZ61" s="20">
        <v>7592</v>
      </c>
      <c r="CA61" s="10">
        <f>CB61/BZ61</f>
        <v>63.727608008429925</v>
      </c>
      <c r="CB61" s="20">
        <v>483820</v>
      </c>
      <c r="CC61" s="20">
        <v>464516</v>
      </c>
      <c r="CD61" s="23">
        <f t="shared" si="68"/>
        <v>-4.068738943644178</v>
      </c>
      <c r="CE61" s="23">
        <f t="shared" si="69"/>
        <v>1.1788794734854378</v>
      </c>
      <c r="CF61" s="23">
        <f t="shared" si="70"/>
        <v>-2.9378249983950724</v>
      </c>
      <c r="CG61" s="23">
        <f t="shared" si="71"/>
        <v>-0.1629147556063799</v>
      </c>
    </row>
    <row r="62" spans="1:85" ht="12">
      <c r="A62" s="1" t="s">
        <v>59</v>
      </c>
      <c r="B62" s="20">
        <v>23426</v>
      </c>
      <c r="C62" s="10">
        <f t="shared" si="18"/>
        <v>248.11470161359173</v>
      </c>
      <c r="D62" s="11">
        <v>5812335</v>
      </c>
      <c r="E62" s="11">
        <v>5504165</v>
      </c>
      <c r="F62" s="8"/>
      <c r="G62" s="20">
        <v>21191</v>
      </c>
      <c r="H62" s="10">
        <f t="shared" si="19"/>
        <v>254.17672596857156</v>
      </c>
      <c r="I62" s="11">
        <v>5386259</v>
      </c>
      <c r="J62" s="11">
        <v>5221193</v>
      </c>
      <c r="K62" s="23">
        <f t="shared" si="78"/>
        <v>-9.540681294288405</v>
      </c>
      <c r="L62" s="23">
        <f t="shared" si="79"/>
        <v>2.4432346473449513</v>
      </c>
      <c r="M62" s="23">
        <f t="shared" si="80"/>
        <v>-7.330547877918249</v>
      </c>
      <c r="N62" s="23">
        <f t="shared" si="81"/>
        <v>-5.141052275867452</v>
      </c>
      <c r="O62" s="23"/>
      <c r="P62" s="20">
        <v>21673</v>
      </c>
      <c r="Q62" s="10">
        <f t="shared" si="20"/>
        <v>240.32086005629122</v>
      </c>
      <c r="R62" s="11">
        <v>5208474</v>
      </c>
      <c r="S62" s="11">
        <v>5026413</v>
      </c>
      <c r="T62" s="23">
        <f t="shared" si="21"/>
        <v>2.2745505167287945</v>
      </c>
      <c r="U62" s="23">
        <f t="shared" si="21"/>
        <v>-5.4512724796028635</v>
      </c>
      <c r="V62" s="23">
        <f t="shared" si="21"/>
        <v>-3.30071390922717</v>
      </c>
      <c r="W62" s="23">
        <f t="shared" si="21"/>
        <v>-3.7305650260390735</v>
      </c>
      <c r="X62" s="23"/>
      <c r="Y62" s="20">
        <v>21588</v>
      </c>
      <c r="Z62" s="10">
        <f t="shared" si="25"/>
        <v>236.63340744858255</v>
      </c>
      <c r="AA62" s="20">
        <v>5108442</v>
      </c>
      <c r="AB62" s="20">
        <v>4760133</v>
      </c>
      <c r="AC62" s="23">
        <f t="shared" si="22"/>
        <v>-0.39219305126194115</v>
      </c>
      <c r="AD62" s="23">
        <f t="shared" si="22"/>
        <v>-1.5343872383133714</v>
      </c>
      <c r="AE62" s="23">
        <f t="shared" si="22"/>
        <v>-1.92056252944721</v>
      </c>
      <c r="AF62" s="23">
        <f t="shared" si="22"/>
        <v>-5.297614819952116</v>
      </c>
      <c r="AG62" s="23"/>
      <c r="AH62" s="20">
        <v>21673</v>
      </c>
      <c r="AI62" s="10">
        <f t="shared" si="43"/>
        <v>242.99926175425645</v>
      </c>
      <c r="AJ62" s="20">
        <v>5266523</v>
      </c>
      <c r="AK62" s="20">
        <v>5097828</v>
      </c>
      <c r="AL62" s="23">
        <f t="shared" si="55"/>
        <v>0.39373726144154375</v>
      </c>
      <c r="AM62" s="23">
        <f t="shared" si="55"/>
        <v>2.6901756494619633</v>
      </c>
      <c r="AN62" s="23">
        <f t="shared" si="55"/>
        <v>3.0945051348336676</v>
      </c>
      <c r="AO62" s="23">
        <f t="shared" si="55"/>
        <v>7.094234551849709</v>
      </c>
      <c r="AP62" s="23"/>
      <c r="AQ62" s="20">
        <v>19729</v>
      </c>
      <c r="AR62" s="10">
        <f>AS62/AQ62</f>
        <v>258.02823255106694</v>
      </c>
      <c r="AS62" s="20">
        <v>5090639</v>
      </c>
      <c r="AT62" s="20">
        <v>4898040</v>
      </c>
      <c r="AU62" s="23">
        <f t="shared" si="74"/>
        <v>-8.969685784155402</v>
      </c>
      <c r="AV62" s="23">
        <f t="shared" si="75"/>
        <v>6.18478043443983</v>
      </c>
      <c r="AW62" s="23">
        <f t="shared" si="76"/>
        <v>-3.33966072112473</v>
      </c>
      <c r="AX62" s="23">
        <f t="shared" si="77"/>
        <v>-6.996703517671904</v>
      </c>
      <c r="AY62" s="23"/>
      <c r="AZ62" s="20">
        <v>20760</v>
      </c>
      <c r="BA62" s="10">
        <f>BB62/AZ62</f>
        <v>270.15958574181116</v>
      </c>
      <c r="BB62" s="20">
        <v>5608513</v>
      </c>
      <c r="BC62" s="20">
        <v>5442835</v>
      </c>
      <c r="BD62" s="23">
        <f t="shared" si="59"/>
        <v>5.2258097217294335</v>
      </c>
      <c r="BE62" s="23">
        <f t="shared" si="60"/>
        <v>4.701560395466913</v>
      </c>
      <c r="BF62" s="23">
        <f t="shared" si="61"/>
        <v>10.173064717415627</v>
      </c>
      <c r="BG62" s="23">
        <f t="shared" si="48"/>
        <v>6.918502765566373</v>
      </c>
      <c r="BH62" s="23"/>
      <c r="BI62" s="20">
        <v>19792</v>
      </c>
      <c r="BJ62" s="10">
        <f>BK62/BI62</f>
        <v>274.69912085691186</v>
      </c>
      <c r="BK62" s="20">
        <v>5436845</v>
      </c>
      <c r="BL62" s="20">
        <v>5027755</v>
      </c>
      <c r="BM62" s="23">
        <f t="shared" si="62"/>
        <v>-4.662813102119458</v>
      </c>
      <c r="BN62" s="23">
        <f t="shared" si="63"/>
        <v>1.6803161370846595</v>
      </c>
      <c r="BO62" s="23">
        <f t="shared" si="64"/>
        <v>-3.060846966031818</v>
      </c>
      <c r="BP62" s="23">
        <f t="shared" si="50"/>
        <v>-10.354937217761645</v>
      </c>
      <c r="BQ62" s="23"/>
      <c r="BR62" s="20">
        <v>21591</v>
      </c>
      <c r="BS62" s="10">
        <f>BT62/BR62</f>
        <v>273.4919179287666</v>
      </c>
      <c r="BT62" s="20">
        <v>5904964</v>
      </c>
      <c r="BU62" s="20">
        <v>5215226</v>
      </c>
      <c r="BV62" s="48"/>
      <c r="BW62" s="23">
        <f t="shared" si="66"/>
        <v>-0.4394637028249093</v>
      </c>
      <c r="BX62" s="23">
        <f t="shared" si="67"/>
        <v>8.610122230815847</v>
      </c>
      <c r="BY62" s="23">
        <f t="shared" si="52"/>
        <v>-4.076242747402219</v>
      </c>
      <c r="BZ62" s="20">
        <v>20140</v>
      </c>
      <c r="CA62" s="10">
        <f>CB62/BZ62</f>
        <v>284.49652432969214</v>
      </c>
      <c r="CB62" s="20">
        <v>5729760</v>
      </c>
      <c r="CC62" s="20">
        <v>5500760</v>
      </c>
      <c r="CD62" s="23">
        <f t="shared" si="68"/>
        <v>-6.720392756241026</v>
      </c>
      <c r="CE62" s="23">
        <f t="shared" si="69"/>
        <v>4.023740988131053</v>
      </c>
      <c r="CF62" s="23">
        <f t="shared" si="70"/>
        <v>-2.9670629660062247</v>
      </c>
      <c r="CG62" s="23">
        <f t="shared" si="71"/>
        <v>5.475007219246109</v>
      </c>
    </row>
    <row r="63" spans="1:85" ht="12">
      <c r="A63" s="1" t="s">
        <v>60</v>
      </c>
      <c r="B63" s="22">
        <v>30.59</v>
      </c>
      <c r="C63" s="10">
        <f t="shared" si="18"/>
        <v>379.7646289637136</v>
      </c>
      <c r="D63" s="11">
        <v>11617</v>
      </c>
      <c r="E63" s="11">
        <v>11206</v>
      </c>
      <c r="F63" s="8"/>
      <c r="G63" s="22">
        <v>38.42</v>
      </c>
      <c r="H63" s="10">
        <f t="shared" si="19"/>
        <v>356.5330557001561</v>
      </c>
      <c r="I63" s="11">
        <v>13698</v>
      </c>
      <c r="J63" s="11">
        <v>13237</v>
      </c>
      <c r="K63" s="23">
        <f t="shared" si="78"/>
        <v>25.596600196142532</v>
      </c>
      <c r="L63" s="23">
        <f t="shared" si="79"/>
        <v>-6.11736098934513</v>
      </c>
      <c r="M63" s="23">
        <f t="shared" si="80"/>
        <v>17.91340277179995</v>
      </c>
      <c r="N63" s="23">
        <f t="shared" si="81"/>
        <v>18.1242191683027</v>
      </c>
      <c r="O63" s="23"/>
      <c r="P63" s="22">
        <v>42.35</v>
      </c>
      <c r="Q63" s="10">
        <f t="shared" si="20"/>
        <v>438.1582054309327</v>
      </c>
      <c r="R63" s="11">
        <v>18556</v>
      </c>
      <c r="S63" s="11">
        <v>18135</v>
      </c>
      <c r="T63" s="23">
        <f t="shared" si="21"/>
        <v>10.229047371160846</v>
      </c>
      <c r="U63" s="23">
        <f t="shared" si="21"/>
        <v>22.894132374481217</v>
      </c>
      <c r="V63" s="23">
        <f t="shared" si="21"/>
        <v>35.465031391444</v>
      </c>
      <c r="W63" s="23">
        <f t="shared" si="21"/>
        <v>37.002341920374704</v>
      </c>
      <c r="X63" s="23"/>
      <c r="Y63" s="22">
        <v>36.15</v>
      </c>
      <c r="Z63" s="10">
        <f t="shared" si="25"/>
        <v>387.63485477178426</v>
      </c>
      <c r="AA63" s="20">
        <v>14013</v>
      </c>
      <c r="AB63" s="20">
        <v>13592</v>
      </c>
      <c r="AC63" s="23">
        <f t="shared" si="22"/>
        <v>-14.639905548996467</v>
      </c>
      <c r="AD63" s="23">
        <f t="shared" si="22"/>
        <v>-11.53084662866425</v>
      </c>
      <c r="AE63" s="23">
        <f t="shared" si="22"/>
        <v>-24.48264712222462</v>
      </c>
      <c r="AF63" s="23">
        <f t="shared" si="22"/>
        <v>-25.05100634132893</v>
      </c>
      <c r="AG63" s="23"/>
      <c r="AH63" s="22">
        <v>34.11</v>
      </c>
      <c r="AI63" s="10">
        <f t="shared" si="43"/>
        <v>383.6704778657285</v>
      </c>
      <c r="AJ63" s="20">
        <v>13087</v>
      </c>
      <c r="AK63" s="20">
        <v>12573</v>
      </c>
      <c r="AL63" s="23">
        <f t="shared" si="55"/>
        <v>-5.6431535269709485</v>
      </c>
      <c r="AM63" s="23">
        <f t="shared" si="55"/>
        <v>-1.0227090926562141</v>
      </c>
      <c r="AN63" s="23">
        <f t="shared" si="55"/>
        <v>-6.608149575394279</v>
      </c>
      <c r="AO63" s="23">
        <f t="shared" si="55"/>
        <v>-7.497057092407303</v>
      </c>
      <c r="AP63" s="23"/>
      <c r="AQ63" s="22">
        <v>32.81</v>
      </c>
      <c r="AR63" s="10">
        <f>AS63/AQ63</f>
        <v>298.44559585492226</v>
      </c>
      <c r="AS63" s="20">
        <v>9792</v>
      </c>
      <c r="AT63" s="20">
        <v>9340</v>
      </c>
      <c r="AU63" s="23">
        <f t="shared" si="74"/>
        <v>-3.8111990618586873</v>
      </c>
      <c r="AV63" s="23">
        <f t="shared" si="75"/>
        <v>-22.21304137990832</v>
      </c>
      <c r="AW63" s="23">
        <f t="shared" si="76"/>
        <v>-25.177657217085653</v>
      </c>
      <c r="AX63" s="23">
        <f t="shared" si="77"/>
        <v>-28.631466340643385</v>
      </c>
      <c r="AY63" s="23"/>
      <c r="AZ63" s="22">
        <v>42.64</v>
      </c>
      <c r="BA63" s="10">
        <f>BB63/AZ63</f>
        <v>310.81144465290805</v>
      </c>
      <c r="BB63" s="20">
        <v>13253</v>
      </c>
      <c r="BC63" s="20">
        <v>13031</v>
      </c>
      <c r="BD63" s="23">
        <f t="shared" si="59"/>
        <v>29.960377933556828</v>
      </c>
      <c r="BE63" s="23">
        <f t="shared" si="60"/>
        <v>4.143418086825108</v>
      </c>
      <c r="BF63" s="23">
        <f t="shared" si="61"/>
        <v>35.34517973856208</v>
      </c>
      <c r="BG63" s="23">
        <f t="shared" si="48"/>
        <v>33.078022875817</v>
      </c>
      <c r="BH63" s="23"/>
      <c r="BI63" s="22">
        <v>46.68</v>
      </c>
      <c r="BJ63" s="10">
        <f>BK63/BI63</f>
        <v>13147.25792630677</v>
      </c>
      <c r="BK63" s="20">
        <v>613714</v>
      </c>
      <c r="BL63" s="20">
        <v>543507</v>
      </c>
      <c r="BM63" s="23">
        <f t="shared" si="62"/>
        <v>9.474671669793622</v>
      </c>
      <c r="BN63" s="23">
        <f t="shared" si="63"/>
        <v>4129.978706539807</v>
      </c>
      <c r="BO63" s="23">
        <f t="shared" si="64"/>
        <v>4530.755300686637</v>
      </c>
      <c r="BP63" s="23">
        <f t="shared" si="50"/>
        <v>4001.0110918282653</v>
      </c>
      <c r="BQ63" s="23"/>
      <c r="BR63" s="22">
        <v>75.91</v>
      </c>
      <c r="BS63" s="10">
        <f>BT63/BR63</f>
        <v>355.2232907390331</v>
      </c>
      <c r="BT63" s="20">
        <v>26965</v>
      </c>
      <c r="BU63" s="20">
        <v>26721</v>
      </c>
      <c r="BV63" s="23">
        <f t="shared" si="65"/>
        <v>62.617823479006006</v>
      </c>
      <c r="BW63" s="23">
        <f t="shared" si="66"/>
        <v>-97.29811879610078</v>
      </c>
      <c r="BX63" s="23">
        <f t="shared" si="67"/>
        <v>-95.60625959323072</v>
      </c>
      <c r="BY63" s="23">
        <f t="shared" si="52"/>
        <v>-95.64601752607892</v>
      </c>
      <c r="BZ63" s="22"/>
      <c r="CA63" s="10" t="e">
        <f>CB63/BZ63</f>
        <v>#DIV/0!</v>
      </c>
      <c r="CB63" s="20"/>
      <c r="CC63" s="20"/>
      <c r="CD63" s="23">
        <f t="shared" si="68"/>
        <v>-100</v>
      </c>
      <c r="CE63" s="23" t="e">
        <f t="shared" si="69"/>
        <v>#DIV/0!</v>
      </c>
      <c r="CF63" s="23">
        <f t="shared" si="70"/>
        <v>-100</v>
      </c>
      <c r="CG63" s="23">
        <f t="shared" si="71"/>
        <v>-100</v>
      </c>
    </row>
    <row r="64" spans="1:85" ht="12">
      <c r="A64" s="1" t="s">
        <v>61</v>
      </c>
      <c r="B64" s="19">
        <f>B63+B62</f>
        <v>23456.59</v>
      </c>
      <c r="C64" s="10">
        <f t="shared" si="18"/>
        <v>248.28638774860283</v>
      </c>
      <c r="D64" s="9">
        <f>D63+D62</f>
        <v>5823952</v>
      </c>
      <c r="E64" s="9">
        <f>E63+E62</f>
        <v>5515371</v>
      </c>
      <c r="F64" s="8"/>
      <c r="G64" s="19">
        <f>G63+G62</f>
        <v>21229.42</v>
      </c>
      <c r="H64" s="10">
        <f t="shared" si="19"/>
        <v>254.3619656118726</v>
      </c>
      <c r="I64" s="9">
        <f>I63+I62</f>
        <v>5399957</v>
      </c>
      <c r="J64" s="9">
        <f>J63+J62</f>
        <v>5234430</v>
      </c>
      <c r="K64" s="23">
        <f t="shared" si="78"/>
        <v>-9.494858374554866</v>
      </c>
      <c r="L64" s="23">
        <f t="shared" si="79"/>
        <v>2.4470040095075376</v>
      </c>
      <c r="M64" s="23">
        <f t="shared" si="80"/>
        <v>-7.280193930169759</v>
      </c>
      <c r="N64" s="23">
        <f t="shared" si="81"/>
        <v>-5.093782449086376</v>
      </c>
      <c r="O64" s="23"/>
      <c r="P64" s="19">
        <f>P63+P62</f>
        <v>21715.35</v>
      </c>
      <c r="Q64" s="10">
        <f t="shared" si="20"/>
        <v>240.7066890471487</v>
      </c>
      <c r="R64" s="9">
        <f>R63+R62</f>
        <v>5227030</v>
      </c>
      <c r="S64" s="9">
        <f>S63+S62</f>
        <v>5044548</v>
      </c>
      <c r="T64" s="23">
        <f t="shared" si="21"/>
        <v>2.2889461888266425</v>
      </c>
      <c r="U64" s="23">
        <f t="shared" si="21"/>
        <v>-5.368442774797671</v>
      </c>
      <c r="V64" s="23">
        <f t="shared" si="21"/>
        <v>-3.202377352264108</v>
      </c>
      <c r="W64" s="23">
        <f t="shared" si="21"/>
        <v>-3.6275583014769524</v>
      </c>
      <c r="X64" s="23"/>
      <c r="Y64" s="19">
        <f>Y63+Y62</f>
        <v>21624.15</v>
      </c>
      <c r="Z64" s="10">
        <f t="shared" si="25"/>
        <v>236.8858429117445</v>
      </c>
      <c r="AA64" s="19">
        <f>AA63+AA62</f>
        <v>5122455</v>
      </c>
      <c r="AB64" s="19">
        <f>AB63+AB62</f>
        <v>4773725</v>
      </c>
      <c r="AC64" s="23">
        <f t="shared" si="22"/>
        <v>-0.41997941548258666</v>
      </c>
      <c r="AD64" s="23">
        <f t="shared" si="22"/>
        <v>-1.5873452252320988</v>
      </c>
      <c r="AE64" s="23">
        <f t="shared" si="22"/>
        <v>-2.0006581175160676</v>
      </c>
      <c r="AF64" s="23">
        <f t="shared" si="22"/>
        <v>-5.368627674867994</v>
      </c>
      <c r="AG64" s="23"/>
      <c r="AH64" s="19">
        <f>AH63+AH62</f>
        <v>21707.11</v>
      </c>
      <c r="AI64" s="10">
        <f t="shared" si="43"/>
        <v>243.22030892182332</v>
      </c>
      <c r="AJ64" s="19">
        <f>AJ63+AJ62</f>
        <v>5279610</v>
      </c>
      <c r="AK64" s="19">
        <f>AK63+AK62</f>
        <v>5110401</v>
      </c>
      <c r="AL64" s="23">
        <f t="shared" si="55"/>
        <v>0.38364513749672824</v>
      </c>
      <c r="AM64" s="23">
        <f t="shared" si="55"/>
        <v>2.6740584967919716</v>
      </c>
      <c r="AN64" s="23">
        <f t="shared" si="55"/>
        <v>3.067962529685474</v>
      </c>
      <c r="AO64" s="23">
        <f t="shared" si="55"/>
        <v>7.052689461583981</v>
      </c>
      <c r="AP64" s="23"/>
      <c r="AQ64" s="19">
        <f>AQ63+AQ62</f>
        <v>19761.81</v>
      </c>
      <c r="AR64" s="6" t="s">
        <v>1</v>
      </c>
      <c r="AS64" s="19">
        <f>AS63+AS62</f>
        <v>5100431</v>
      </c>
      <c r="AT64" s="19">
        <f>AT63+AT62</f>
        <v>4907380</v>
      </c>
      <c r="AU64" s="23">
        <f t="shared" si="74"/>
        <v>-8.961579869452905</v>
      </c>
      <c r="AV64" s="23" t="e">
        <f t="shared" si="75"/>
        <v>#VALUE!</v>
      </c>
      <c r="AW64" s="23">
        <f t="shared" si="76"/>
        <v>-3.393792344510288</v>
      </c>
      <c r="AX64" s="23">
        <f t="shared" si="77"/>
        <v>-7.050331369173108</v>
      </c>
      <c r="AY64" s="23"/>
      <c r="AZ64" s="19">
        <f>AZ63+AZ62</f>
        <v>20802.64</v>
      </c>
      <c r="BA64" s="6" t="s">
        <v>1</v>
      </c>
      <c r="BB64" s="20">
        <f>BB63+BB62</f>
        <v>5621766</v>
      </c>
      <c r="BC64" s="20">
        <f>BC63+BC62</f>
        <v>5455866</v>
      </c>
      <c r="BD64" s="23">
        <f t="shared" si="59"/>
        <v>5.266875858031213</v>
      </c>
      <c r="BE64" s="23" t="e">
        <f t="shared" si="60"/>
        <v>#VALUE!</v>
      </c>
      <c r="BF64" s="23">
        <f t="shared" si="61"/>
        <v>10.22139109420361</v>
      </c>
      <c r="BG64" s="23">
        <f t="shared" si="48"/>
        <v>6.968724799923777</v>
      </c>
      <c r="BH64" s="23"/>
      <c r="BI64" s="19">
        <f>BI63+BI62</f>
        <v>19838.68</v>
      </c>
      <c r="BJ64" s="6" t="s">
        <v>1</v>
      </c>
      <c r="BK64" s="19">
        <f>BK63+BK62</f>
        <v>6050559</v>
      </c>
      <c r="BL64" s="19">
        <f>BL63+BL62</f>
        <v>5571262</v>
      </c>
      <c r="BM64" s="23">
        <f t="shared" si="62"/>
        <v>-4.633834936335006</v>
      </c>
      <c r="BN64" s="23" t="e">
        <f t="shared" si="63"/>
        <v>#VALUE!</v>
      </c>
      <c r="BO64" s="23">
        <f t="shared" si="64"/>
        <v>7.6273718970159905</v>
      </c>
      <c r="BP64" s="23">
        <f t="shared" si="50"/>
        <v>-0.8983653890965968</v>
      </c>
      <c r="BQ64" s="23"/>
      <c r="BR64" s="19">
        <f>BR63+BR62</f>
        <v>21666.91</v>
      </c>
      <c r="BS64" s="6" t="s">
        <v>1</v>
      </c>
      <c r="BT64" s="19">
        <f>BT63+BT62</f>
        <v>5931929</v>
      </c>
      <c r="BU64" s="19">
        <f>BU63+BU62</f>
        <v>5241947</v>
      </c>
      <c r="BV64" s="23">
        <f t="shared" si="65"/>
        <v>9.215482078444737</v>
      </c>
      <c r="BW64" s="23" t="e">
        <f t="shared" si="66"/>
        <v>#VALUE!</v>
      </c>
      <c r="BX64" s="23">
        <f t="shared" si="67"/>
        <v>-1.9606452891377444</v>
      </c>
      <c r="BY64" s="23">
        <f t="shared" si="52"/>
        <v>-13.364252790527289</v>
      </c>
      <c r="BZ64" s="19">
        <f>BZ63+BZ62</f>
        <v>20140</v>
      </c>
      <c r="CA64" s="6" t="s">
        <v>1</v>
      </c>
      <c r="CB64" s="19">
        <f>CB63+CB62</f>
        <v>5729760</v>
      </c>
      <c r="CC64" s="19">
        <f>CC63+CC62</f>
        <v>5500760</v>
      </c>
      <c r="CD64" s="23">
        <f t="shared" si="68"/>
        <v>-7.047197777624959</v>
      </c>
      <c r="CE64" s="23" t="e">
        <f t="shared" si="69"/>
        <v>#VALUE!</v>
      </c>
      <c r="CF64" s="23">
        <f t="shared" si="70"/>
        <v>-3.408149355799779</v>
      </c>
      <c r="CG64" s="23">
        <f t="shared" si="71"/>
        <v>4.93734484534086</v>
      </c>
    </row>
    <row r="65" spans="1:85" ht="12">
      <c r="A65" s="1" t="s">
        <v>62</v>
      </c>
      <c r="B65" s="20">
        <v>2906</v>
      </c>
      <c r="C65" s="10">
        <f t="shared" si="18"/>
        <v>204.90330350997937</v>
      </c>
      <c r="D65" s="11">
        <v>595449</v>
      </c>
      <c r="E65" s="11">
        <v>576976</v>
      </c>
      <c r="F65" s="8"/>
      <c r="G65" s="20">
        <v>3654</v>
      </c>
      <c r="H65" s="10">
        <f t="shared" si="19"/>
        <v>179.71319102353584</v>
      </c>
      <c r="I65" s="11">
        <v>656672</v>
      </c>
      <c r="J65" s="11">
        <v>637638</v>
      </c>
      <c r="K65" s="23">
        <f t="shared" si="78"/>
        <v>25.73984858912594</v>
      </c>
      <c r="L65" s="23">
        <f t="shared" si="79"/>
        <v>-12.293658547685013</v>
      </c>
      <c r="M65" s="23">
        <f t="shared" si="80"/>
        <v>10.281820945202696</v>
      </c>
      <c r="N65" s="23">
        <f t="shared" si="81"/>
        <v>10.513782202379303</v>
      </c>
      <c r="O65" s="23"/>
      <c r="P65" s="20">
        <v>2656</v>
      </c>
      <c r="Q65" s="10">
        <f t="shared" si="20"/>
        <v>193.36257530120483</v>
      </c>
      <c r="R65" s="11">
        <v>513571</v>
      </c>
      <c r="S65" s="11">
        <v>495626</v>
      </c>
      <c r="T65" s="23">
        <f t="shared" si="21"/>
        <v>-27.31253420908594</v>
      </c>
      <c r="U65" s="23">
        <f t="shared" si="21"/>
        <v>7.595093159233599</v>
      </c>
      <c r="V65" s="23">
        <f t="shared" si="21"/>
        <v>-21.791853467179962</v>
      </c>
      <c r="W65" s="23">
        <f t="shared" si="21"/>
        <v>-22.271571016783824</v>
      </c>
      <c r="X65" s="23"/>
      <c r="Y65" s="20">
        <v>2823</v>
      </c>
      <c r="Z65" s="10">
        <f t="shared" si="25"/>
        <v>189.06482465462275</v>
      </c>
      <c r="AA65" s="20">
        <v>533730</v>
      </c>
      <c r="AB65" s="20">
        <v>514767</v>
      </c>
      <c r="AC65" s="23">
        <f t="shared" si="22"/>
        <v>6.2876506024096415</v>
      </c>
      <c r="AD65" s="23">
        <f t="shared" si="22"/>
        <v>-2.2226382948651633</v>
      </c>
      <c r="AE65" s="23">
        <f t="shared" si="22"/>
        <v>3.9252605774079967</v>
      </c>
      <c r="AF65" s="23">
        <f t="shared" si="22"/>
        <v>3.8619846416451082</v>
      </c>
      <c r="AG65" s="23"/>
      <c r="AH65" s="20">
        <v>2638</v>
      </c>
      <c r="AI65" s="10">
        <f t="shared" si="43"/>
        <v>181.06709628506445</v>
      </c>
      <c r="AJ65" s="20">
        <v>477655</v>
      </c>
      <c r="AK65" s="20">
        <v>459772</v>
      </c>
      <c r="AL65" s="23">
        <f t="shared" si="55"/>
        <v>-6.553312079348217</v>
      </c>
      <c r="AM65" s="23">
        <f t="shared" si="55"/>
        <v>-4.23015142249136</v>
      </c>
      <c r="AN65" s="23">
        <f t="shared" si="55"/>
        <v>-10.506248477694712</v>
      </c>
      <c r="AO65" s="23">
        <f t="shared" si="55"/>
        <v>-10.683474270883721</v>
      </c>
      <c r="AP65" s="23"/>
      <c r="AQ65" s="20">
        <v>1981</v>
      </c>
      <c r="AR65" s="10">
        <f>AS65/AQ65</f>
        <v>214.20949015648662</v>
      </c>
      <c r="AS65" s="20">
        <v>424349</v>
      </c>
      <c r="AT65" s="20">
        <v>408583</v>
      </c>
      <c r="AU65" s="23">
        <f t="shared" si="74"/>
        <v>-24.905231235784683</v>
      </c>
      <c r="AV65" s="23">
        <f t="shared" si="75"/>
        <v>18.303929621340018</v>
      </c>
      <c r="AW65" s="23">
        <f t="shared" si="76"/>
        <v>-11.159937611874682</v>
      </c>
      <c r="AX65" s="23">
        <f t="shared" si="77"/>
        <v>-14.46064628235861</v>
      </c>
      <c r="AY65" s="23"/>
      <c r="AZ65" s="20">
        <v>2338</v>
      </c>
      <c r="BA65" s="10">
        <f>BB65/AZ65</f>
        <v>176.7181351582549</v>
      </c>
      <c r="BB65" s="20">
        <v>413167</v>
      </c>
      <c r="BC65" s="20">
        <v>401156</v>
      </c>
      <c r="BD65" s="23">
        <f t="shared" si="59"/>
        <v>18.021201413427562</v>
      </c>
      <c r="BE65" s="23">
        <f t="shared" si="60"/>
        <v>-17.50219141590931</v>
      </c>
      <c r="BF65" s="23">
        <f t="shared" si="61"/>
        <v>-2.635095169306396</v>
      </c>
      <c r="BG65" s="23">
        <f t="shared" si="48"/>
        <v>-5.4655484047329</v>
      </c>
      <c r="BH65" s="23"/>
      <c r="BI65" s="20">
        <v>2600</v>
      </c>
      <c r="BJ65" s="10">
        <f>BK65/BI65</f>
        <v>149.16538461538462</v>
      </c>
      <c r="BK65" s="20">
        <v>387830</v>
      </c>
      <c r="BL65" s="20">
        <v>373943</v>
      </c>
      <c r="BM65" s="23">
        <f t="shared" si="62"/>
        <v>11.206159110350725</v>
      </c>
      <c r="BN65" s="23">
        <f t="shared" si="63"/>
        <v>-15.591354287547347</v>
      </c>
      <c r="BO65" s="23">
        <f t="shared" si="64"/>
        <v>-6.132387146117665</v>
      </c>
      <c r="BP65" s="23">
        <f t="shared" si="50"/>
        <v>-9.493497786609282</v>
      </c>
      <c r="BQ65" s="23"/>
      <c r="BR65" s="20">
        <v>2371</v>
      </c>
      <c r="BS65" s="10">
        <f>BT65/BR65</f>
        <v>170.8131590046394</v>
      </c>
      <c r="BT65" s="20">
        <v>404998</v>
      </c>
      <c r="BU65" s="20">
        <v>381188</v>
      </c>
      <c r="BV65" s="23">
        <f t="shared" si="65"/>
        <v>-8.807692307692307</v>
      </c>
      <c r="BW65" s="23">
        <f t="shared" si="66"/>
        <v>14.51259918316336</v>
      </c>
      <c r="BX65" s="23">
        <f t="shared" si="67"/>
        <v>4.426681793569344</v>
      </c>
      <c r="BY65" s="23">
        <f t="shared" si="52"/>
        <v>-1.7126060387283104</v>
      </c>
      <c r="BZ65" s="20">
        <v>2228</v>
      </c>
      <c r="CA65" s="10">
        <f>CB65/BZ65</f>
        <v>204.14003590664274</v>
      </c>
      <c r="CB65" s="20">
        <v>454824</v>
      </c>
      <c r="CC65" s="20">
        <v>445636</v>
      </c>
      <c r="CD65" s="23">
        <f t="shared" si="68"/>
        <v>-6.031210459721635</v>
      </c>
      <c r="CE65" s="23">
        <f t="shared" si="69"/>
        <v>19.51071983927079</v>
      </c>
      <c r="CF65" s="23">
        <f t="shared" si="70"/>
        <v>12.302776803836068</v>
      </c>
      <c r="CG65" s="23">
        <f t="shared" si="71"/>
        <v>16.907142932096505</v>
      </c>
    </row>
    <row r="66" spans="1:85" ht="12">
      <c r="A66" s="1" t="s">
        <v>63</v>
      </c>
      <c r="B66" s="22">
        <v>3126.52</v>
      </c>
      <c r="C66" s="10">
        <f t="shared" si="18"/>
        <v>337.94090554354364</v>
      </c>
      <c r="D66" s="11">
        <v>1056579</v>
      </c>
      <c r="E66" s="11">
        <v>1028608</v>
      </c>
      <c r="F66" s="8"/>
      <c r="G66" s="22">
        <v>2754.76</v>
      </c>
      <c r="H66" s="10">
        <f t="shared" si="19"/>
        <v>340.98614761358516</v>
      </c>
      <c r="I66" s="11">
        <v>939335</v>
      </c>
      <c r="J66" s="11">
        <v>918192</v>
      </c>
      <c r="K66" s="23">
        <f t="shared" si="78"/>
        <v>-11.890536443074083</v>
      </c>
      <c r="L66" s="23">
        <f t="shared" si="79"/>
        <v>0.9011167396688791</v>
      </c>
      <c r="M66" s="23">
        <f t="shared" si="80"/>
        <v>-11.096567317730148</v>
      </c>
      <c r="N66" s="23">
        <f t="shared" si="81"/>
        <v>-10.734507217521156</v>
      </c>
      <c r="O66" s="23"/>
      <c r="P66" s="22">
        <v>8000.63</v>
      </c>
      <c r="Q66" s="10">
        <f t="shared" si="20"/>
        <v>423.0599340301951</v>
      </c>
      <c r="R66" s="11">
        <v>3384746</v>
      </c>
      <c r="S66" s="11">
        <v>3248369</v>
      </c>
      <c r="T66" s="23">
        <f t="shared" si="21"/>
        <v>190.42929329596768</v>
      </c>
      <c r="U66" s="23">
        <f t="shared" si="21"/>
        <v>24.06953683925549</v>
      </c>
      <c r="V66" s="23">
        <f t="shared" si="21"/>
        <v>260.33427903782996</v>
      </c>
      <c r="W66" s="23">
        <f t="shared" si="21"/>
        <v>253.77883928415844</v>
      </c>
      <c r="X66" s="23"/>
      <c r="Y66" s="22">
        <v>3167.05</v>
      </c>
      <c r="Z66" s="10">
        <f t="shared" si="25"/>
        <v>331.35125747935774</v>
      </c>
      <c r="AA66" s="20">
        <v>1049406</v>
      </c>
      <c r="AB66" s="20">
        <v>1023981</v>
      </c>
      <c r="AC66" s="23">
        <f t="shared" si="22"/>
        <v>-60.41499231935485</v>
      </c>
      <c r="AD66" s="23">
        <f t="shared" si="22"/>
        <v>-21.67746675446034</v>
      </c>
      <c r="AE66" s="23">
        <f t="shared" si="22"/>
        <v>-68.99601919907727</v>
      </c>
      <c r="AF66" s="23">
        <f t="shared" si="22"/>
        <v>-68.47707264784266</v>
      </c>
      <c r="AG66" s="23"/>
      <c r="AH66" s="22">
        <v>3240.48</v>
      </c>
      <c r="AI66" s="10">
        <f t="shared" si="43"/>
        <v>329.979200612255</v>
      </c>
      <c r="AJ66" s="20">
        <v>1069291</v>
      </c>
      <c r="AK66" s="20">
        <v>1042113</v>
      </c>
      <c r="AL66" s="23">
        <f t="shared" si="55"/>
        <v>2.3185614372996923</v>
      </c>
      <c r="AM66" s="23">
        <f t="shared" si="55"/>
        <v>-0.41407926969711184</v>
      </c>
      <c r="AN66" s="23">
        <f t="shared" si="55"/>
        <v>1.8948814853355174</v>
      </c>
      <c r="AO66" s="23">
        <f t="shared" si="55"/>
        <v>1.7707359804527556</v>
      </c>
      <c r="AP66" s="23"/>
      <c r="AQ66" s="22">
        <v>2721.26</v>
      </c>
      <c r="AR66" s="10">
        <f>AS66/AQ66</f>
        <v>346.7853126860351</v>
      </c>
      <c r="AS66" s="20">
        <v>943693</v>
      </c>
      <c r="AT66" s="20">
        <v>914337</v>
      </c>
      <c r="AU66" s="23">
        <f t="shared" si="74"/>
        <v>-16.022934873845855</v>
      </c>
      <c r="AV66" s="23">
        <f t="shared" si="75"/>
        <v>5.093082243546704</v>
      </c>
      <c r="AW66" s="23">
        <f t="shared" si="76"/>
        <v>-11.745913881254026</v>
      </c>
      <c r="AX66" s="23">
        <f t="shared" si="77"/>
        <v>-14.491284411820544</v>
      </c>
      <c r="AY66" s="23"/>
      <c r="AZ66" s="22">
        <v>3179</v>
      </c>
      <c r="BA66" s="10">
        <f>BB66/AZ66</f>
        <v>344.75086505190313</v>
      </c>
      <c r="BB66" s="20">
        <v>1095963</v>
      </c>
      <c r="BC66" s="20">
        <v>1070689</v>
      </c>
      <c r="BD66" s="23">
        <f t="shared" si="59"/>
        <v>16.82088444323584</v>
      </c>
      <c r="BE66" s="23">
        <f t="shared" si="60"/>
        <v>-0.5866591114756545</v>
      </c>
      <c r="BF66" s="23">
        <f t="shared" si="61"/>
        <v>16.13554408054314</v>
      </c>
      <c r="BG66" s="23">
        <f t="shared" si="48"/>
        <v>13.457342589168306</v>
      </c>
      <c r="BH66" s="23"/>
      <c r="BI66" s="22">
        <v>3084.77</v>
      </c>
      <c r="BJ66" s="10">
        <f>BK66/BI66</f>
        <v>326.2000084285052</v>
      </c>
      <c r="BK66" s="20">
        <v>1006252</v>
      </c>
      <c r="BL66" s="20">
        <v>979254</v>
      </c>
      <c r="BM66" s="23">
        <f t="shared" si="62"/>
        <v>-2.964139666561806</v>
      </c>
      <c r="BN66" s="23">
        <f t="shared" si="63"/>
        <v>-5.380945634641137</v>
      </c>
      <c r="BO66" s="23">
        <f t="shared" si="64"/>
        <v>-8.185586557210414</v>
      </c>
      <c r="BP66" s="23">
        <f t="shared" si="50"/>
        <v>-10.648990887466098</v>
      </c>
      <c r="BQ66" s="23"/>
      <c r="BR66" s="22">
        <v>3225.63</v>
      </c>
      <c r="BS66" s="10">
        <f>BT66/BR66</f>
        <v>337.6475293198538</v>
      </c>
      <c r="BT66" s="20">
        <v>1089126</v>
      </c>
      <c r="BU66" s="20">
        <v>1050578</v>
      </c>
      <c r="BV66" s="45"/>
      <c r="BW66" s="23">
        <f t="shared" si="66"/>
        <v>3.509356405751774</v>
      </c>
      <c r="BX66" s="23">
        <f t="shared" si="67"/>
        <v>8.235909096329749</v>
      </c>
      <c r="BY66" s="23">
        <f t="shared" si="52"/>
        <v>4.405059567583464</v>
      </c>
      <c r="BZ66" s="22"/>
      <c r="CA66" s="10" t="e">
        <f>CB66/BZ66</f>
        <v>#DIV/0!</v>
      </c>
      <c r="CB66" s="20"/>
      <c r="CC66" s="20"/>
      <c r="CD66" s="23">
        <f t="shared" si="68"/>
        <v>-100</v>
      </c>
      <c r="CE66" s="23" t="e">
        <f t="shared" si="69"/>
        <v>#DIV/0!</v>
      </c>
      <c r="CF66" s="23">
        <f t="shared" si="70"/>
        <v>-100</v>
      </c>
      <c r="CG66" s="23">
        <f t="shared" si="71"/>
        <v>-100</v>
      </c>
    </row>
    <row r="67" spans="1:85" ht="12">
      <c r="A67" s="1" t="s">
        <v>64</v>
      </c>
      <c r="B67" s="19">
        <f>B65+B66</f>
        <v>6032.52</v>
      </c>
      <c r="C67" s="10">
        <f t="shared" si="18"/>
        <v>273.8537128762109</v>
      </c>
      <c r="D67" s="9">
        <f>D66+D65</f>
        <v>1652028</v>
      </c>
      <c r="E67" s="9">
        <f>E66+E65</f>
        <v>1605584</v>
      </c>
      <c r="F67" s="8"/>
      <c r="G67" s="19">
        <f>G65+G66</f>
        <v>6408.76</v>
      </c>
      <c r="H67" s="10">
        <f t="shared" si="19"/>
        <v>249.0352267833403</v>
      </c>
      <c r="I67" s="9">
        <f>I66+I65</f>
        <v>1596007</v>
      </c>
      <c r="J67" s="9">
        <f>J66+J65</f>
        <v>1555830</v>
      </c>
      <c r="K67" s="23">
        <f t="shared" si="78"/>
        <v>6.236862869911732</v>
      </c>
      <c r="L67" s="23">
        <f t="shared" si="79"/>
        <v>-9.062680155842628</v>
      </c>
      <c r="M67" s="23">
        <f t="shared" si="80"/>
        <v>-3.391044219589503</v>
      </c>
      <c r="N67" s="23">
        <f t="shared" si="81"/>
        <v>-3.0988101525675376</v>
      </c>
      <c r="O67" s="23"/>
      <c r="P67" s="19">
        <f>P65+P66</f>
        <v>10656.630000000001</v>
      </c>
      <c r="Q67" s="10">
        <f t="shared" si="20"/>
        <v>365.8114244371813</v>
      </c>
      <c r="R67" s="9">
        <f>R66+R65</f>
        <v>3898317</v>
      </c>
      <c r="S67" s="9">
        <f>S66+S65</f>
        <v>3743995</v>
      </c>
      <c r="T67" s="23">
        <f t="shared" si="21"/>
        <v>66.28224492725582</v>
      </c>
      <c r="U67" s="23">
        <f t="shared" si="21"/>
        <v>46.891437473396394</v>
      </c>
      <c r="V67" s="23">
        <f t="shared" si="21"/>
        <v>144.2543798366799</v>
      </c>
      <c r="W67" s="23">
        <f t="shared" si="21"/>
        <v>140.64293656761984</v>
      </c>
      <c r="X67" s="23"/>
      <c r="Y67" s="19">
        <f>Y65+Y66</f>
        <v>5990.05</v>
      </c>
      <c r="Z67" s="10">
        <f t="shared" si="25"/>
        <v>264.29428802764585</v>
      </c>
      <c r="AA67" s="19">
        <f>AA65+AA66</f>
        <v>1583136</v>
      </c>
      <c r="AB67" s="19">
        <f>AB65+AB66</f>
        <v>1538748</v>
      </c>
      <c r="AC67" s="23">
        <f t="shared" si="22"/>
        <v>-43.79039152152229</v>
      </c>
      <c r="AD67" s="23">
        <f t="shared" si="22"/>
        <v>-27.751220882651353</v>
      </c>
      <c r="AE67" s="23">
        <f t="shared" si="22"/>
        <v>-59.389244127658166</v>
      </c>
      <c r="AF67" s="23">
        <f t="shared" si="22"/>
        <v>-58.900906651851834</v>
      </c>
      <c r="AG67" s="23"/>
      <c r="AH67" s="19">
        <f>AH65+AH66</f>
        <v>5878.48</v>
      </c>
      <c r="AI67" s="10">
        <f t="shared" si="43"/>
        <v>263.1540806466978</v>
      </c>
      <c r="AJ67" s="19">
        <f>AJ65+AJ66</f>
        <v>1546946</v>
      </c>
      <c r="AK67" s="19">
        <f>AK65+AK66</f>
        <v>1501885</v>
      </c>
      <c r="AL67" s="23">
        <f t="shared" si="55"/>
        <v>-1.8625887930818692</v>
      </c>
      <c r="AM67" s="23">
        <f t="shared" si="55"/>
        <v>-0.4314158241773072</v>
      </c>
      <c r="AN67" s="23">
        <f t="shared" si="55"/>
        <v>-2.285969114466482</v>
      </c>
      <c r="AO67" s="23">
        <f t="shared" si="55"/>
        <v>-2.3956489301692017</v>
      </c>
      <c r="AP67" s="23"/>
      <c r="AQ67" s="19">
        <f>AQ65+AQ66</f>
        <v>4702.26</v>
      </c>
      <c r="AR67" s="6" t="s">
        <v>1</v>
      </c>
      <c r="AS67" s="19">
        <f>AS65+AS66</f>
        <v>1368042</v>
      </c>
      <c r="AT67" s="19">
        <f>AT65+AT66</f>
        <v>1322920</v>
      </c>
      <c r="AU67" s="23">
        <f t="shared" si="74"/>
        <v>-20.00891386889127</v>
      </c>
      <c r="AV67" s="23" t="e">
        <f t="shared" si="75"/>
        <v>#VALUE!</v>
      </c>
      <c r="AW67" s="23">
        <f t="shared" si="76"/>
        <v>-11.564980290197596</v>
      </c>
      <c r="AX67" s="23">
        <f t="shared" si="77"/>
        <v>-14.48182418778677</v>
      </c>
      <c r="AY67" s="23"/>
      <c r="AZ67" s="19">
        <f>AZ65+AZ66</f>
        <v>5517</v>
      </c>
      <c r="BA67" s="6" t="s">
        <v>1</v>
      </c>
      <c r="BB67" s="19">
        <f>BB65+BB66</f>
        <v>1509130</v>
      </c>
      <c r="BC67" s="19">
        <f>BC65+BC66</f>
        <v>1471845</v>
      </c>
      <c r="BD67" s="23">
        <f t="shared" si="59"/>
        <v>17.32656212119278</v>
      </c>
      <c r="BE67" s="23" t="e">
        <f t="shared" si="60"/>
        <v>#VALUE!</v>
      </c>
      <c r="BF67" s="23">
        <f t="shared" si="61"/>
        <v>10.313133661101048</v>
      </c>
      <c r="BG67" s="23">
        <f t="shared" si="48"/>
        <v>7.587705640616292</v>
      </c>
      <c r="BH67" s="23"/>
      <c r="BI67" s="19">
        <f>BI65+BI66</f>
        <v>5684.77</v>
      </c>
      <c r="BJ67" s="6" t="s">
        <v>1</v>
      </c>
      <c r="BK67" s="19">
        <f>BK65+BK66</f>
        <v>1394082</v>
      </c>
      <c r="BL67" s="19">
        <f>BL65+BL66</f>
        <v>1353197</v>
      </c>
      <c r="BM67" s="23">
        <f t="shared" si="62"/>
        <v>3.0409642921877804</v>
      </c>
      <c r="BN67" s="23" t="e">
        <f t="shared" si="63"/>
        <v>#VALUE!</v>
      </c>
      <c r="BO67" s="23">
        <f t="shared" si="64"/>
        <v>-7.623465175299671</v>
      </c>
      <c r="BP67" s="23">
        <f t="shared" si="50"/>
        <v>-10.332641985779887</v>
      </c>
      <c r="BQ67" s="23"/>
      <c r="BR67" s="19">
        <f>BR65+BR66</f>
        <v>5596.63</v>
      </c>
      <c r="BS67" s="6" t="s">
        <v>1</v>
      </c>
      <c r="BT67" s="19">
        <f>BT65+BT66</f>
        <v>1494124</v>
      </c>
      <c r="BU67" s="19">
        <f>BU65+BU66</f>
        <v>1431766</v>
      </c>
      <c r="BV67" s="23">
        <f t="shared" si="65"/>
        <v>-1.5504585057970814</v>
      </c>
      <c r="BW67" s="23" t="e">
        <f t="shared" si="66"/>
        <v>#VALUE!</v>
      </c>
      <c r="BX67" s="23">
        <f t="shared" si="67"/>
        <v>7.176191931321114</v>
      </c>
      <c r="BY67" s="23">
        <f t="shared" si="52"/>
        <v>2.703140848242782</v>
      </c>
      <c r="BZ67" s="19">
        <f>BZ65+BZ66</f>
        <v>2228</v>
      </c>
      <c r="CA67" s="6" t="s">
        <v>1</v>
      </c>
      <c r="CB67" s="19">
        <f>CB65+CB66</f>
        <v>454824</v>
      </c>
      <c r="CC67" s="19">
        <f>CC65+CC66</f>
        <v>445636</v>
      </c>
      <c r="CD67" s="23">
        <f t="shared" si="68"/>
        <v>-60.190328822880915</v>
      </c>
      <c r="CE67" s="23" t="e">
        <f t="shared" si="69"/>
        <v>#VALUE!</v>
      </c>
      <c r="CF67" s="23">
        <f t="shared" si="70"/>
        <v>-69.55915305556968</v>
      </c>
      <c r="CG67" s="23">
        <f t="shared" si="71"/>
        <v>-68.87508154265431</v>
      </c>
    </row>
    <row r="68" spans="1:85" ht="12">
      <c r="A68" s="1" t="s">
        <v>65</v>
      </c>
      <c r="B68" s="20">
        <v>10966</v>
      </c>
      <c r="C68" s="10">
        <f t="shared" si="18"/>
        <v>211.46288528178005</v>
      </c>
      <c r="D68" s="11">
        <v>2318902</v>
      </c>
      <c r="E68" s="11">
        <v>2151022</v>
      </c>
      <c r="F68" s="8"/>
      <c r="G68" s="20">
        <v>10578</v>
      </c>
      <c r="H68" s="10">
        <f t="shared" si="19"/>
        <v>218.54575534127434</v>
      </c>
      <c r="I68" s="11">
        <v>2311777</v>
      </c>
      <c r="J68" s="11">
        <v>2240246</v>
      </c>
      <c r="K68" s="23">
        <f t="shared" si="78"/>
        <v>-3.5382090096662466</v>
      </c>
      <c r="L68" s="23">
        <f t="shared" si="79"/>
        <v>3.3494625073597035</v>
      </c>
      <c r="M68" s="23">
        <f t="shared" si="80"/>
        <v>-0.3072574865173294</v>
      </c>
      <c r="N68" s="23">
        <f t="shared" si="81"/>
        <v>4.147981750070429</v>
      </c>
      <c r="O68" s="23"/>
      <c r="P68" s="20">
        <v>10429</v>
      </c>
      <c r="Q68" s="10">
        <f t="shared" si="20"/>
        <v>230.572538114872</v>
      </c>
      <c r="R68" s="11">
        <v>2404641</v>
      </c>
      <c r="S68" s="11">
        <v>2287943</v>
      </c>
      <c r="T68" s="23">
        <f t="shared" si="21"/>
        <v>-1.4085838532803905</v>
      </c>
      <c r="U68" s="23">
        <f t="shared" si="21"/>
        <v>5.503096024362037</v>
      </c>
      <c r="V68" s="23">
        <f t="shared" si="21"/>
        <v>4.016996449051959</v>
      </c>
      <c r="W68" s="23">
        <f t="shared" si="21"/>
        <v>2.1290965367196293</v>
      </c>
      <c r="X68" s="23"/>
      <c r="Y68" s="20">
        <v>10249</v>
      </c>
      <c r="Z68" s="10">
        <f t="shared" si="25"/>
        <v>234.16947994926335</v>
      </c>
      <c r="AA68" s="20">
        <v>2400003</v>
      </c>
      <c r="AB68" s="20">
        <v>2309083</v>
      </c>
      <c r="AC68" s="23">
        <f t="shared" si="22"/>
        <v>-1.7259564675424315</v>
      </c>
      <c r="AD68" s="23">
        <f t="shared" si="22"/>
        <v>1.560004441031623</v>
      </c>
      <c r="AE68" s="23">
        <f t="shared" si="22"/>
        <v>-0.19287702405473794</v>
      </c>
      <c r="AF68" s="23">
        <f t="shared" si="22"/>
        <v>0.9239740675357666</v>
      </c>
      <c r="AG68" s="23"/>
      <c r="AH68" s="20">
        <v>9942</v>
      </c>
      <c r="AI68" s="10">
        <f t="shared" si="43"/>
        <v>234.09253671293501</v>
      </c>
      <c r="AJ68" s="20">
        <v>2327348</v>
      </c>
      <c r="AK68" s="20">
        <v>2237530</v>
      </c>
      <c r="AL68" s="23">
        <f t="shared" si="55"/>
        <v>-2.995414186749926</v>
      </c>
      <c r="AM68" s="23">
        <f t="shared" si="55"/>
        <v>-0.03285792680797783</v>
      </c>
      <c r="AN68" s="23">
        <f t="shared" si="55"/>
        <v>-3.02728788255682</v>
      </c>
      <c r="AO68" s="23">
        <f t="shared" si="55"/>
        <v>-3.0987625823757696</v>
      </c>
      <c r="AP68" s="23"/>
      <c r="AQ68" s="20">
        <v>9350</v>
      </c>
      <c r="AR68" s="10">
        <f>AS68/AQ68</f>
        <v>227.0124064171123</v>
      </c>
      <c r="AS68" s="20">
        <v>2122566</v>
      </c>
      <c r="AT68" s="20">
        <v>2053990</v>
      </c>
      <c r="AU68" s="23">
        <f t="shared" si="74"/>
        <v>-5.954536310601483</v>
      </c>
      <c r="AV68" s="23">
        <f t="shared" si="75"/>
        <v>-3.0245006505717953</v>
      </c>
      <c r="AW68" s="23">
        <f t="shared" si="76"/>
        <v>-8.798941971720609</v>
      </c>
      <c r="AX68" s="23">
        <f t="shared" si="77"/>
        <v>-11.745471669900681</v>
      </c>
      <c r="AY68" s="23"/>
      <c r="AZ68" s="20">
        <v>9539</v>
      </c>
      <c r="BA68" s="10">
        <f>BB68/AZ68</f>
        <v>230.51462417444176</v>
      </c>
      <c r="BB68" s="20">
        <v>2198879</v>
      </c>
      <c r="BC68" s="20">
        <v>2126299</v>
      </c>
      <c r="BD68" s="23">
        <f t="shared" si="59"/>
        <v>2.0213903743315456</v>
      </c>
      <c r="BE68" s="23">
        <f t="shared" si="60"/>
        <v>1.5427428890800456</v>
      </c>
      <c r="BF68" s="23">
        <f t="shared" si="61"/>
        <v>3.595318119672129</v>
      </c>
      <c r="BG68" s="23">
        <f t="shared" si="48"/>
        <v>0.1758720341322686</v>
      </c>
      <c r="BH68" s="23"/>
      <c r="BI68" s="20">
        <v>8861</v>
      </c>
      <c r="BJ68" s="10">
        <f>BK68/BI68</f>
        <v>244.85859383816725</v>
      </c>
      <c r="BK68" s="20">
        <v>2169692</v>
      </c>
      <c r="BL68" s="20">
        <v>2092078</v>
      </c>
      <c r="BM68" s="23">
        <f t="shared" si="62"/>
        <v>-7.1076632770730725</v>
      </c>
      <c r="BN68" s="23">
        <f t="shared" si="63"/>
        <v>6.2225855366428675</v>
      </c>
      <c r="BO68" s="23">
        <f t="shared" si="64"/>
        <v>-1.3273581675026236</v>
      </c>
      <c r="BP68" s="23">
        <f t="shared" si="50"/>
        <v>-4.857065804894219</v>
      </c>
      <c r="BQ68" s="23"/>
      <c r="BR68" s="20">
        <v>9200</v>
      </c>
      <c r="BS68" s="10">
        <f>BT68/BR68</f>
        <v>237.765</v>
      </c>
      <c r="BT68" s="20">
        <v>2187438</v>
      </c>
      <c r="BU68" s="20">
        <v>2129148</v>
      </c>
      <c r="BV68" s="23">
        <f t="shared" si="65"/>
        <v>3.8257533009818303</v>
      </c>
      <c r="BW68" s="23">
        <f t="shared" si="66"/>
        <v>-2.8970164889763197</v>
      </c>
      <c r="BX68" s="23">
        <f t="shared" si="67"/>
        <v>0.8179041080485092</v>
      </c>
      <c r="BY68" s="23">
        <f t="shared" si="52"/>
        <v>-1.86865232484611</v>
      </c>
      <c r="BZ68" s="20">
        <v>8503</v>
      </c>
      <c r="CA68" s="10">
        <f>CB68/BZ68</f>
        <v>229.60684464306715</v>
      </c>
      <c r="CB68" s="20">
        <v>1952347</v>
      </c>
      <c r="CC68" s="20">
        <v>1915677</v>
      </c>
      <c r="CD68" s="23">
        <f t="shared" si="68"/>
        <v>-7.576086956521735</v>
      </c>
      <c r="CE68" s="23">
        <f t="shared" si="69"/>
        <v>-3.431184302539407</v>
      </c>
      <c r="CF68" s="23">
        <f t="shared" si="70"/>
        <v>-10.747321752662245</v>
      </c>
      <c r="CG68" s="23">
        <f t="shared" si="71"/>
        <v>-10.026123125306455</v>
      </c>
    </row>
    <row r="69" spans="1:85" ht="12">
      <c r="A69" s="1" t="s">
        <v>66</v>
      </c>
      <c r="B69" s="22">
        <v>256.25</v>
      </c>
      <c r="C69" s="10">
        <f t="shared" si="18"/>
        <v>276.22243902439027</v>
      </c>
      <c r="D69" s="11">
        <v>70782</v>
      </c>
      <c r="E69" s="11">
        <v>67686</v>
      </c>
      <c r="F69" s="8"/>
      <c r="G69" s="22">
        <v>254.39</v>
      </c>
      <c r="H69" s="10">
        <f t="shared" si="19"/>
        <v>285.89960297181494</v>
      </c>
      <c r="I69" s="11">
        <v>72730</v>
      </c>
      <c r="J69" s="11">
        <v>68955</v>
      </c>
      <c r="K69" s="23">
        <f t="shared" si="78"/>
        <v>-0.7258536585365789</v>
      </c>
      <c r="L69" s="23">
        <f t="shared" si="79"/>
        <v>3.5033953003977985</v>
      </c>
      <c r="M69" s="23">
        <f t="shared" si="80"/>
        <v>2.7521121189002855</v>
      </c>
      <c r="N69" s="23">
        <f t="shared" si="81"/>
        <v>1.874833791330559</v>
      </c>
      <c r="O69" s="23"/>
      <c r="P69" s="22">
        <v>250.03</v>
      </c>
      <c r="Q69" s="10">
        <f t="shared" si="20"/>
        <v>274.97900251969764</v>
      </c>
      <c r="R69" s="11">
        <v>68753</v>
      </c>
      <c r="S69" s="11">
        <v>65541</v>
      </c>
      <c r="T69" s="23">
        <f t="shared" si="21"/>
        <v>-1.7139038484217082</v>
      </c>
      <c r="U69" s="23">
        <f t="shared" si="21"/>
        <v>-3.8197326399204172</v>
      </c>
      <c r="V69" s="23">
        <f t="shared" si="21"/>
        <v>-5.468169943627117</v>
      </c>
      <c r="W69" s="23">
        <f t="shared" si="21"/>
        <v>-4.951055035892978</v>
      </c>
      <c r="X69" s="23"/>
      <c r="Y69" s="22">
        <v>247.28</v>
      </c>
      <c r="Z69" s="10">
        <f t="shared" si="25"/>
        <v>292.8016823034617</v>
      </c>
      <c r="AA69" s="20">
        <v>72404</v>
      </c>
      <c r="AB69" s="20">
        <v>68633</v>
      </c>
      <c r="AC69" s="23">
        <f t="shared" si="22"/>
        <v>-1.0998680158380978</v>
      </c>
      <c r="AD69" s="23">
        <f t="shared" si="22"/>
        <v>6.48146935600559</v>
      </c>
      <c r="AE69" s="23">
        <f t="shared" si="22"/>
        <v>5.310313731764438</v>
      </c>
      <c r="AF69" s="23">
        <f t="shared" si="22"/>
        <v>4.717657649410299</v>
      </c>
      <c r="AG69" s="23"/>
      <c r="AH69" s="22">
        <v>259.1</v>
      </c>
      <c r="AI69" s="10">
        <f t="shared" si="43"/>
        <v>290.05789270551907</v>
      </c>
      <c r="AJ69" s="20">
        <v>75154</v>
      </c>
      <c r="AK69" s="20">
        <v>71818</v>
      </c>
      <c r="AL69" s="23">
        <f t="shared" si="55"/>
        <v>4.78000647039795</v>
      </c>
      <c r="AM69" s="23">
        <f t="shared" si="55"/>
        <v>-0.9370812272515963</v>
      </c>
      <c r="AN69" s="23">
        <f t="shared" si="55"/>
        <v>3.7981326998508393</v>
      </c>
      <c r="AO69" s="23">
        <f t="shared" si="55"/>
        <v>4.640624772339834</v>
      </c>
      <c r="AP69" s="23"/>
      <c r="AQ69" s="22">
        <v>227.12</v>
      </c>
      <c r="AR69" s="10">
        <f>AS69/AQ69</f>
        <v>273.185980979218</v>
      </c>
      <c r="AS69" s="20">
        <v>62046</v>
      </c>
      <c r="AT69" s="20">
        <v>59645</v>
      </c>
      <c r="AU69" s="23">
        <f t="shared" si="74"/>
        <v>-12.342724816673112</v>
      </c>
      <c r="AV69" s="23">
        <f t="shared" si="75"/>
        <v>-5.816739399479218</v>
      </c>
      <c r="AW69" s="23">
        <f t="shared" si="76"/>
        <v>-17.44152007877159</v>
      </c>
      <c r="AX69" s="23">
        <f t="shared" si="77"/>
        <v>-20.63629347739308</v>
      </c>
      <c r="AY69" s="23"/>
      <c r="AZ69" s="22">
        <v>227.53</v>
      </c>
      <c r="BA69" s="10">
        <f>BB69/AZ69</f>
        <v>237.41484639388213</v>
      </c>
      <c r="BB69" s="20">
        <v>54019</v>
      </c>
      <c r="BC69" s="20">
        <v>52105</v>
      </c>
      <c r="BD69" s="23">
        <f t="shared" si="59"/>
        <v>0.18052131032052898</v>
      </c>
      <c r="BE69" s="23">
        <f t="shared" si="60"/>
        <v>-13.094059386618767</v>
      </c>
      <c r="BF69" s="23">
        <f t="shared" si="61"/>
        <v>-12.937175643877126</v>
      </c>
      <c r="BG69" s="23">
        <f t="shared" si="48"/>
        <v>-16.02198368952068</v>
      </c>
      <c r="BH69" s="23"/>
      <c r="BI69" s="22">
        <v>233.77</v>
      </c>
      <c r="BJ69" s="10">
        <f>BK69/BI69</f>
        <v>269.82504170766134</v>
      </c>
      <c r="BK69" s="20">
        <v>63077</v>
      </c>
      <c r="BL69" s="20">
        <v>61673</v>
      </c>
      <c r="BM69" s="23">
        <f t="shared" si="62"/>
        <v>2.742495495099547</v>
      </c>
      <c r="BN69" s="23">
        <f t="shared" si="63"/>
        <v>13.651292581766015</v>
      </c>
      <c r="BO69" s="23">
        <f t="shared" si="64"/>
        <v>16.768174160943374</v>
      </c>
      <c r="BP69" s="23">
        <f t="shared" si="50"/>
        <v>14.16908865399212</v>
      </c>
      <c r="BQ69" s="23"/>
      <c r="BR69" s="22">
        <v>271.13</v>
      </c>
      <c r="BS69" s="10">
        <f>BT69/BR69</f>
        <v>307.4798067347767</v>
      </c>
      <c r="BT69" s="20">
        <v>83367</v>
      </c>
      <c r="BU69" s="20">
        <v>81689</v>
      </c>
      <c r="BV69" s="23">
        <f t="shared" si="65"/>
        <v>15.981520297728537</v>
      </c>
      <c r="BW69" s="23">
        <f t="shared" si="66"/>
        <v>13.95525218445512</v>
      </c>
      <c r="BX69" s="23">
        <f t="shared" si="67"/>
        <v>32.167033942641524</v>
      </c>
      <c r="BY69" s="23">
        <f t="shared" si="52"/>
        <v>29.50679328439844</v>
      </c>
      <c r="BZ69" s="22"/>
      <c r="CA69" s="10" t="e">
        <f>CB69/BZ69</f>
        <v>#DIV/0!</v>
      </c>
      <c r="CB69" s="20"/>
      <c r="CC69" s="20"/>
      <c r="CD69" s="23">
        <f t="shared" si="68"/>
        <v>-100</v>
      </c>
      <c r="CE69" s="23" t="e">
        <f t="shared" si="69"/>
        <v>#DIV/0!</v>
      </c>
      <c r="CF69" s="23">
        <f t="shared" si="70"/>
        <v>-100</v>
      </c>
      <c r="CG69" s="23">
        <f t="shared" si="71"/>
        <v>-100</v>
      </c>
    </row>
    <row r="70" spans="1:85" ht="12">
      <c r="A70" s="1" t="s">
        <v>67</v>
      </c>
      <c r="B70" s="19">
        <f>B68+B69</f>
        <v>11222.25</v>
      </c>
      <c r="C70" s="10">
        <f t="shared" si="18"/>
        <v>212.94161153066452</v>
      </c>
      <c r="D70" s="9">
        <f>D69+D68</f>
        <v>2389684</v>
      </c>
      <c r="E70" s="9">
        <f>E69+E68</f>
        <v>2218708</v>
      </c>
      <c r="F70" s="8"/>
      <c r="G70" s="19">
        <f>G68+G69</f>
        <v>10832.39</v>
      </c>
      <c r="H70" s="10">
        <f t="shared" si="19"/>
        <v>220.127506487488</v>
      </c>
      <c r="I70" s="9">
        <f>I69+I68</f>
        <v>2384507</v>
      </c>
      <c r="J70" s="9">
        <f>J69+J68</f>
        <v>2309201</v>
      </c>
      <c r="K70" s="23">
        <f t="shared" si="78"/>
        <v>-3.4739914010113893</v>
      </c>
      <c r="L70" s="23">
        <f t="shared" si="79"/>
        <v>3.3745846596960973</v>
      </c>
      <c r="M70" s="23">
        <f t="shared" si="80"/>
        <v>-0.21663952221297222</v>
      </c>
      <c r="N70" s="23">
        <f t="shared" si="81"/>
        <v>4.078634953315174</v>
      </c>
      <c r="O70" s="23"/>
      <c r="P70" s="19">
        <f>P68+P69</f>
        <v>10679.03</v>
      </c>
      <c r="Q70" s="10">
        <f t="shared" si="20"/>
        <v>231.61223444451414</v>
      </c>
      <c r="R70" s="9">
        <f>R69+R68</f>
        <v>2473394</v>
      </c>
      <c r="S70" s="9">
        <f>S69+S68</f>
        <v>2353484</v>
      </c>
      <c r="T70" s="23">
        <f t="shared" si="21"/>
        <v>-1.4157540487371563</v>
      </c>
      <c r="U70" s="23">
        <f t="shared" si="21"/>
        <v>5.217307069109481</v>
      </c>
      <c r="V70" s="23">
        <f t="shared" si="21"/>
        <v>3.727688784306352</v>
      </c>
      <c r="W70" s="23">
        <f t="shared" si="21"/>
        <v>1.917676287165989</v>
      </c>
      <c r="X70" s="23"/>
      <c r="Y70" s="19">
        <f>Y68+Y69</f>
        <v>10496.28</v>
      </c>
      <c r="Z70" s="10">
        <f t="shared" si="25"/>
        <v>235.5507856116643</v>
      </c>
      <c r="AA70" s="19">
        <f>AA68+AA69</f>
        <v>2472407</v>
      </c>
      <c r="AB70" s="19">
        <f>AB68+AB69</f>
        <v>2377716</v>
      </c>
      <c r="AC70" s="23">
        <f t="shared" si="22"/>
        <v>-1.711297748952859</v>
      </c>
      <c r="AD70" s="23">
        <f t="shared" si="22"/>
        <v>1.700493575650782</v>
      </c>
      <c r="AE70" s="23">
        <f t="shared" si="22"/>
        <v>-0.03990468158328042</v>
      </c>
      <c r="AF70" s="23">
        <f t="shared" si="22"/>
        <v>1.0296224660970665</v>
      </c>
      <c r="AG70" s="23"/>
      <c r="AH70" s="19">
        <f>AH68+AH69</f>
        <v>10201.1</v>
      </c>
      <c r="AI70" s="10">
        <f t="shared" si="43"/>
        <v>235.51401319465546</v>
      </c>
      <c r="AJ70" s="19">
        <f>AJ68+AJ69</f>
        <v>2402502</v>
      </c>
      <c r="AK70" s="19">
        <f>AK68+AK69</f>
        <v>2309348</v>
      </c>
      <c r="AL70" s="23">
        <f t="shared" si="55"/>
        <v>-2.8122344297217694</v>
      </c>
      <c r="AM70" s="23">
        <f t="shared" si="55"/>
        <v>-0.01561124787309609</v>
      </c>
      <c r="AN70" s="23">
        <f t="shared" si="55"/>
        <v>-2.8274066527072677</v>
      </c>
      <c r="AO70" s="23">
        <f t="shared" si="55"/>
        <v>-2.8753644253560964</v>
      </c>
      <c r="AP70" s="23"/>
      <c r="AQ70" s="19">
        <f>AQ68+AQ69</f>
        <v>9577.12</v>
      </c>
      <c r="AR70" s="6" t="s">
        <v>1</v>
      </c>
      <c r="AS70" s="19">
        <f>AS68+AS69</f>
        <v>2184612</v>
      </c>
      <c r="AT70" s="19">
        <f>AT68+AT69</f>
        <v>2113635</v>
      </c>
      <c r="AU70" s="23">
        <f t="shared" si="74"/>
        <v>-6.11679132642557</v>
      </c>
      <c r="AV70" s="23" t="e">
        <f t="shared" si="75"/>
        <v>#VALUE!</v>
      </c>
      <c r="AW70" s="23">
        <f t="shared" si="76"/>
        <v>-9.06929525969177</v>
      </c>
      <c r="AX70" s="23">
        <f t="shared" si="77"/>
        <v>-12.023590407000697</v>
      </c>
      <c r="AY70" s="23"/>
      <c r="AZ70" s="19">
        <f>AZ68+AZ69</f>
        <v>9766.53</v>
      </c>
      <c r="BA70" s="6" t="s">
        <v>1</v>
      </c>
      <c r="BB70" s="19">
        <f>BB68+BB69</f>
        <v>2252898</v>
      </c>
      <c r="BC70" s="19">
        <f>BC68+BC69</f>
        <v>2178404</v>
      </c>
      <c r="BD70" s="23">
        <f t="shared" si="59"/>
        <v>1.9777344337337297</v>
      </c>
      <c r="BE70" s="23" t="e">
        <f t="shared" si="60"/>
        <v>#VALUE!</v>
      </c>
      <c r="BF70" s="23">
        <f t="shared" si="61"/>
        <v>3.1257724483798484</v>
      </c>
      <c r="BG70" s="23">
        <f t="shared" si="48"/>
        <v>-0.2841694543470368</v>
      </c>
      <c r="BH70" s="23"/>
      <c r="BI70" s="19">
        <f>BI68+BI69</f>
        <v>9094.77</v>
      </c>
      <c r="BJ70" s="6" t="s">
        <v>1</v>
      </c>
      <c r="BK70" s="19">
        <f>BK68+BK69</f>
        <v>2232769</v>
      </c>
      <c r="BL70" s="19">
        <f>BL68+BL69</f>
        <v>2153751</v>
      </c>
      <c r="BM70" s="23">
        <f t="shared" si="62"/>
        <v>-6.878184984841084</v>
      </c>
      <c r="BN70" s="23" t="e">
        <f t="shared" si="63"/>
        <v>#VALUE!</v>
      </c>
      <c r="BO70" s="23">
        <f t="shared" si="64"/>
        <v>-0.8934714310190657</v>
      </c>
      <c r="BP70" s="23">
        <f t="shared" si="50"/>
        <v>-4.400865019188615</v>
      </c>
      <c r="BQ70" s="23"/>
      <c r="BR70" s="19">
        <f>BR68+BR69</f>
        <v>9471.13</v>
      </c>
      <c r="BS70" s="6" t="s">
        <v>1</v>
      </c>
      <c r="BT70" s="19">
        <f>BT68+BT69</f>
        <v>2270805</v>
      </c>
      <c r="BU70" s="19">
        <f>BU68+BU69</f>
        <v>2210837</v>
      </c>
      <c r="BV70" s="23">
        <f t="shared" si="65"/>
        <v>4.138202505395938</v>
      </c>
      <c r="BW70" s="23" t="e">
        <f t="shared" si="66"/>
        <v>#VALUE!</v>
      </c>
      <c r="BX70" s="23">
        <f t="shared" si="67"/>
        <v>1.703534938007465</v>
      </c>
      <c r="BY70" s="23">
        <f t="shared" si="52"/>
        <v>-0.9822780592170517</v>
      </c>
      <c r="BZ70" s="19">
        <f>BZ68+BZ69</f>
        <v>8503</v>
      </c>
      <c r="CA70" s="6" t="s">
        <v>1</v>
      </c>
      <c r="CB70" s="19">
        <f>CB68+CB69</f>
        <v>1952347</v>
      </c>
      <c r="CC70" s="19">
        <f>CC68+CC69</f>
        <v>1915677</v>
      </c>
      <c r="CD70" s="23">
        <f t="shared" si="68"/>
        <v>-10.221905939417994</v>
      </c>
      <c r="CE70" s="23" t="e">
        <f t="shared" si="69"/>
        <v>#VALUE!</v>
      </c>
      <c r="CF70" s="23">
        <f t="shared" si="70"/>
        <v>-14.024013510627285</v>
      </c>
      <c r="CG70" s="23">
        <f t="shared" si="71"/>
        <v>-13.350599795462074</v>
      </c>
    </row>
    <row r="71" spans="1:85" ht="12">
      <c r="A71" s="1" t="s">
        <v>68</v>
      </c>
      <c r="B71" s="20">
        <v>18016</v>
      </c>
      <c r="C71" s="10">
        <f t="shared" si="18"/>
        <v>213.95409635879219</v>
      </c>
      <c r="D71" s="11">
        <v>3854597</v>
      </c>
      <c r="E71" s="11">
        <v>3671154</v>
      </c>
      <c r="F71" s="8"/>
      <c r="G71" s="20">
        <v>17095</v>
      </c>
      <c r="H71" s="10">
        <f t="shared" si="19"/>
        <v>216.47312079555425</v>
      </c>
      <c r="I71" s="11">
        <v>3700608</v>
      </c>
      <c r="J71" s="11">
        <v>3553133</v>
      </c>
      <c r="K71" s="23">
        <f t="shared" si="78"/>
        <v>-5.112122557726465</v>
      </c>
      <c r="L71" s="23">
        <f t="shared" si="79"/>
        <v>1.1773667714862341</v>
      </c>
      <c r="M71" s="23">
        <f t="shared" si="80"/>
        <v>-3.994944218552547</v>
      </c>
      <c r="N71" s="23">
        <f t="shared" si="81"/>
        <v>-3.214820190054681</v>
      </c>
      <c r="O71" s="23"/>
      <c r="P71" s="20">
        <v>17899</v>
      </c>
      <c r="Q71" s="10">
        <f t="shared" si="20"/>
        <v>219.2047041734175</v>
      </c>
      <c r="R71" s="11">
        <v>3923545</v>
      </c>
      <c r="S71" s="11">
        <v>3723456</v>
      </c>
      <c r="T71" s="23">
        <f t="shared" si="21"/>
        <v>4.703129570049725</v>
      </c>
      <c r="U71" s="23">
        <f t="shared" si="21"/>
        <v>1.261857993188471</v>
      </c>
      <c r="V71" s="23">
        <f t="shared" si="21"/>
        <v>6.0243343796478825</v>
      </c>
      <c r="W71" s="23">
        <f t="shared" si="21"/>
        <v>4.793600464716633</v>
      </c>
      <c r="X71" s="23"/>
      <c r="Y71" s="20">
        <v>17442</v>
      </c>
      <c r="Z71" s="10">
        <f t="shared" si="25"/>
        <v>218.12848297213623</v>
      </c>
      <c r="AA71" s="20">
        <v>3804597</v>
      </c>
      <c r="AB71" s="20">
        <v>3656760</v>
      </c>
      <c r="AC71" s="23">
        <f t="shared" si="22"/>
        <v>-2.553215263422544</v>
      </c>
      <c r="AD71" s="23">
        <f t="shared" si="22"/>
        <v>-0.4909662889487265</v>
      </c>
      <c r="AE71" s="23">
        <f t="shared" si="22"/>
        <v>-3.0316461261435705</v>
      </c>
      <c r="AF71" s="23">
        <f t="shared" si="22"/>
        <v>-1.7912391068942384</v>
      </c>
      <c r="AG71" s="23"/>
      <c r="AH71" s="20">
        <v>16724</v>
      </c>
      <c r="AI71" s="10">
        <f t="shared" si="43"/>
        <v>217.9990432910787</v>
      </c>
      <c r="AJ71" s="20">
        <v>3645816</v>
      </c>
      <c r="AK71" s="20">
        <v>3508691</v>
      </c>
      <c r="AL71" s="23">
        <f t="shared" si="55"/>
        <v>-4.1165004013301285</v>
      </c>
      <c r="AM71" s="23">
        <f t="shared" si="55"/>
        <v>-0.05934102657930396</v>
      </c>
      <c r="AN71" s="23">
        <f t="shared" si="55"/>
        <v>-4.1733986543121375</v>
      </c>
      <c r="AO71" s="23">
        <f t="shared" si="55"/>
        <v>-4.0491856178693695</v>
      </c>
      <c r="AP71" s="23"/>
      <c r="AQ71" s="20">
        <v>15489</v>
      </c>
      <c r="AR71" s="10">
        <f>AS71/AQ71</f>
        <v>217.28910839950933</v>
      </c>
      <c r="AS71" s="20">
        <v>3365591</v>
      </c>
      <c r="AT71" s="20">
        <v>3243239</v>
      </c>
      <c r="AU71" s="23">
        <f t="shared" si="74"/>
        <v>-7.384596986366901</v>
      </c>
      <c r="AV71" s="23">
        <f t="shared" si="75"/>
        <v>-0.3256596363230102</v>
      </c>
      <c r="AW71" s="23">
        <f t="shared" si="76"/>
        <v>-7.6862079710001865</v>
      </c>
      <c r="AX71" s="23">
        <f t="shared" si="77"/>
        <v>-11.04216449760493</v>
      </c>
      <c r="AY71" s="23"/>
      <c r="AZ71" s="20">
        <v>16590</v>
      </c>
      <c r="BA71" s="10">
        <f>BB71/AZ71</f>
        <v>217.41410488245933</v>
      </c>
      <c r="BB71" s="20">
        <v>3606900</v>
      </c>
      <c r="BC71" s="20">
        <v>3441997</v>
      </c>
      <c r="BD71" s="23">
        <f t="shared" si="59"/>
        <v>7.108270385434821</v>
      </c>
      <c r="BE71" s="23">
        <f t="shared" si="60"/>
        <v>0.057525424937622915</v>
      </c>
      <c r="BF71" s="23">
        <f t="shared" si="61"/>
        <v>7.1698848731173825</v>
      </c>
      <c r="BG71" s="23">
        <f t="shared" si="48"/>
        <v>2.2702104920057167</v>
      </c>
      <c r="BH71" s="23"/>
      <c r="BI71" s="20">
        <v>15510</v>
      </c>
      <c r="BJ71" s="10">
        <f>BK71/BI71</f>
        <v>225.88446163765312</v>
      </c>
      <c r="BK71" s="20">
        <v>3503468</v>
      </c>
      <c r="BL71" s="20">
        <v>3380153</v>
      </c>
      <c r="BM71" s="23">
        <f t="shared" si="62"/>
        <v>-6.509945750452076</v>
      </c>
      <c r="BN71" s="23">
        <f t="shared" si="63"/>
        <v>3.89595548999597</v>
      </c>
      <c r="BO71" s="23">
        <f t="shared" si="64"/>
        <v>-2.867614849316581</v>
      </c>
      <c r="BP71" s="23">
        <f t="shared" si="50"/>
        <v>-6.28647869361501</v>
      </c>
      <c r="BQ71" s="23"/>
      <c r="BR71" s="20">
        <v>15860</v>
      </c>
      <c r="BS71" s="10">
        <f>BT71/BR71</f>
        <v>229.87427490542245</v>
      </c>
      <c r="BT71" s="20">
        <v>3645806</v>
      </c>
      <c r="BU71" s="20">
        <v>3521555</v>
      </c>
      <c r="BV71" s="23">
        <f t="shared" si="65"/>
        <v>2.2566086395873697</v>
      </c>
      <c r="BW71" s="23">
        <f t="shared" si="66"/>
        <v>1.7663070929462634</v>
      </c>
      <c r="BX71" s="23">
        <f t="shared" si="67"/>
        <v>4.062774370994688</v>
      </c>
      <c r="BY71" s="23">
        <f t="shared" si="52"/>
        <v>0.5162598887730638</v>
      </c>
      <c r="BZ71" s="20">
        <v>15396</v>
      </c>
      <c r="CA71" s="10">
        <f>CB71/BZ71</f>
        <v>220.57118732138218</v>
      </c>
      <c r="CB71" s="20">
        <v>3395914</v>
      </c>
      <c r="CC71" s="20">
        <v>3311056</v>
      </c>
      <c r="CD71" s="23">
        <f t="shared" si="68"/>
        <v>-2.9255989911727625</v>
      </c>
      <c r="CE71" s="23">
        <f t="shared" si="69"/>
        <v>-4.047032921742925</v>
      </c>
      <c r="CF71" s="23">
        <f t="shared" si="70"/>
        <v>-6.854231958584748</v>
      </c>
      <c r="CG71" s="23">
        <f t="shared" si="71"/>
        <v>-5.9774446231849225</v>
      </c>
    </row>
    <row r="72" spans="1:85" ht="12">
      <c r="A72" s="1" t="s">
        <v>69</v>
      </c>
      <c r="B72" s="22">
        <v>4016.25</v>
      </c>
      <c r="C72" s="10">
        <f t="shared" si="18"/>
        <v>343.3859943977591</v>
      </c>
      <c r="D72" s="11">
        <v>1379124</v>
      </c>
      <c r="E72" s="11">
        <v>1185207</v>
      </c>
      <c r="F72" s="8"/>
      <c r="G72" s="22">
        <v>3729.76</v>
      </c>
      <c r="H72" s="10">
        <f t="shared" si="19"/>
        <v>363.3032688430355</v>
      </c>
      <c r="I72" s="11">
        <v>1355034</v>
      </c>
      <c r="J72" s="11">
        <v>1127665</v>
      </c>
      <c r="K72" s="23">
        <f t="shared" si="78"/>
        <v>-7.133271086212261</v>
      </c>
      <c r="L72" s="23">
        <f t="shared" si="79"/>
        <v>5.800258242974621</v>
      </c>
      <c r="M72" s="23">
        <f t="shared" si="80"/>
        <v>-1.7467609874094023</v>
      </c>
      <c r="N72" s="23">
        <f t="shared" si="81"/>
        <v>-4.855016887345414</v>
      </c>
      <c r="O72" s="23"/>
      <c r="P72" s="22">
        <v>3879.62</v>
      </c>
      <c r="Q72" s="10">
        <f t="shared" si="20"/>
        <v>345.3214490078925</v>
      </c>
      <c r="R72" s="11">
        <v>1339716</v>
      </c>
      <c r="S72" s="11">
        <v>1263923</v>
      </c>
      <c r="T72" s="23">
        <f t="shared" si="21"/>
        <v>4.017952897773583</v>
      </c>
      <c r="U72" s="23">
        <f t="shared" si="21"/>
        <v>-4.949534280934856</v>
      </c>
      <c r="V72" s="23">
        <f t="shared" si="21"/>
        <v>-1.1304513392283866</v>
      </c>
      <c r="W72" s="23">
        <f t="shared" si="21"/>
        <v>12.083198467630012</v>
      </c>
      <c r="X72" s="23"/>
      <c r="Y72" s="22">
        <v>4023.67</v>
      </c>
      <c r="Z72" s="10">
        <f t="shared" si="25"/>
        <v>350.618216702662</v>
      </c>
      <c r="AA72" s="20">
        <v>1410772</v>
      </c>
      <c r="AB72" s="20">
        <v>1316489</v>
      </c>
      <c r="AC72" s="23">
        <f t="shared" si="22"/>
        <v>3.7129925095756846</v>
      </c>
      <c r="AD72" s="23">
        <f t="shared" si="22"/>
        <v>1.533865825591505</v>
      </c>
      <c r="AE72" s="23">
        <f t="shared" si="22"/>
        <v>5.303810658378339</v>
      </c>
      <c r="AF72" s="23">
        <f t="shared" si="22"/>
        <v>4.158955885762026</v>
      </c>
      <c r="AG72" s="23"/>
      <c r="AH72" s="22">
        <v>3996.01</v>
      </c>
      <c r="AI72" s="10">
        <f t="shared" si="43"/>
        <v>353.36923581272316</v>
      </c>
      <c r="AJ72" s="20">
        <v>1412067</v>
      </c>
      <c r="AK72" s="20">
        <v>1322590</v>
      </c>
      <c r="AL72" s="23">
        <f t="shared" si="55"/>
        <v>-0.6874321204273741</v>
      </c>
      <c r="AM72" s="23">
        <f t="shared" si="55"/>
        <v>0.7846195602535175</v>
      </c>
      <c r="AN72" s="23">
        <f t="shared" si="55"/>
        <v>0.09179371294581529</v>
      </c>
      <c r="AO72" s="23">
        <f t="shared" si="55"/>
        <v>0.463429622275612</v>
      </c>
      <c r="AP72" s="23"/>
      <c r="AQ72" s="22">
        <v>4066.47</v>
      </c>
      <c r="AR72" s="10">
        <f>AS72/AQ72</f>
        <v>341.91620742314586</v>
      </c>
      <c r="AS72" s="20">
        <v>1390392</v>
      </c>
      <c r="AT72" s="20">
        <v>1318374</v>
      </c>
      <c r="AU72" s="23">
        <f t="shared" si="74"/>
        <v>1.763258850703565</v>
      </c>
      <c r="AV72" s="23">
        <f t="shared" si="75"/>
        <v>-3.241093799021911</v>
      </c>
      <c r="AW72" s="23">
        <f t="shared" si="76"/>
        <v>-1.5349838215892078</v>
      </c>
      <c r="AX72" s="23">
        <f t="shared" si="77"/>
        <v>-6.635166744920738</v>
      </c>
      <c r="AY72" s="23"/>
      <c r="AZ72" s="22">
        <v>4139.78</v>
      </c>
      <c r="BA72" s="10">
        <f>BB72/AZ72</f>
        <v>351.8527554604351</v>
      </c>
      <c r="BB72" s="20">
        <v>1456593</v>
      </c>
      <c r="BC72" s="20">
        <v>1392573</v>
      </c>
      <c r="BD72" s="23">
        <f t="shared" si="59"/>
        <v>1.802792102241014</v>
      </c>
      <c r="BE72" s="23">
        <f t="shared" si="60"/>
        <v>2.906135427792705</v>
      </c>
      <c r="BF72" s="23">
        <f t="shared" si="61"/>
        <v>4.761319110006383</v>
      </c>
      <c r="BG72" s="23">
        <f t="shared" si="48"/>
        <v>0.1568622374121844</v>
      </c>
      <c r="BH72" s="23"/>
      <c r="BI72" s="22">
        <v>4264.81</v>
      </c>
      <c r="BJ72" s="10">
        <f>BK72/BI72</f>
        <v>364.72339916666857</v>
      </c>
      <c r="BK72" s="20">
        <v>1555476</v>
      </c>
      <c r="BL72" s="20">
        <v>1469262</v>
      </c>
      <c r="BM72" s="23">
        <f t="shared" si="62"/>
        <v>3.020208803366387</v>
      </c>
      <c r="BN72" s="23">
        <f t="shared" si="63"/>
        <v>3.6579630275712844</v>
      </c>
      <c r="BO72" s="23">
        <f t="shared" si="64"/>
        <v>6.788649952320242</v>
      </c>
      <c r="BP72" s="23">
        <f t="shared" si="50"/>
        <v>0.8697693865067322</v>
      </c>
      <c r="BQ72" s="23"/>
      <c r="BR72" s="22">
        <v>3835.8</v>
      </c>
      <c r="BS72" s="10">
        <f>BT72/BR72</f>
        <v>340.25157724594607</v>
      </c>
      <c r="BT72" s="20">
        <v>1305137</v>
      </c>
      <c r="BU72" s="20">
        <v>1243726</v>
      </c>
      <c r="BV72" s="23">
        <f t="shared" si="65"/>
        <v>-10.059299241935761</v>
      </c>
      <c r="BW72" s="23">
        <f t="shared" si="66"/>
        <v>-6.7096934215453246</v>
      </c>
      <c r="BX72" s="23">
        <f t="shared" si="67"/>
        <v>-16.09404452399137</v>
      </c>
      <c r="BY72" s="23">
        <f t="shared" si="52"/>
        <v>-20.04209643864644</v>
      </c>
      <c r="BZ72" s="22"/>
      <c r="CA72" s="10" t="e">
        <f>CB72/BZ72</f>
        <v>#DIV/0!</v>
      </c>
      <c r="CB72" s="20"/>
      <c r="CC72" s="20"/>
      <c r="CD72" s="23">
        <f t="shared" si="68"/>
        <v>-100</v>
      </c>
      <c r="CE72" s="23" t="e">
        <f t="shared" si="69"/>
        <v>#DIV/0!</v>
      </c>
      <c r="CF72" s="23">
        <f t="shared" si="70"/>
        <v>-100</v>
      </c>
      <c r="CG72" s="23">
        <f t="shared" si="71"/>
        <v>-100</v>
      </c>
    </row>
    <row r="73" spans="1:85" ht="12">
      <c r="A73" s="1" t="s">
        <v>70</v>
      </c>
      <c r="B73" s="19">
        <f>B71+B72</f>
        <v>22032.25</v>
      </c>
      <c r="C73" s="10">
        <f t="shared" si="18"/>
        <v>237.54818504691985</v>
      </c>
      <c r="D73" s="9">
        <f>D72+D71</f>
        <v>5233721</v>
      </c>
      <c r="E73" s="9">
        <f>E72+E71</f>
        <v>4856361</v>
      </c>
      <c r="F73" s="8"/>
      <c r="G73" s="19">
        <f>G71+G72</f>
        <v>20824.760000000002</v>
      </c>
      <c r="H73" s="10">
        <f t="shared" si="19"/>
        <v>242.77072100710882</v>
      </c>
      <c r="I73" s="9">
        <f>I72+I71</f>
        <v>5055642</v>
      </c>
      <c r="J73" s="9">
        <f>J72+J71</f>
        <v>4680798</v>
      </c>
      <c r="K73" s="23">
        <f t="shared" si="78"/>
        <v>-5.480556910891977</v>
      </c>
      <c r="L73" s="23">
        <f t="shared" si="79"/>
        <v>2.1985164648416173</v>
      </c>
      <c r="M73" s="23">
        <f t="shared" si="80"/>
        <v>-3.402531392101338</v>
      </c>
      <c r="N73" s="23">
        <f t="shared" si="81"/>
        <v>-3.6151142800133726</v>
      </c>
      <c r="O73" s="23"/>
      <c r="P73" s="19">
        <f>P71+P72</f>
        <v>21778.62</v>
      </c>
      <c r="Q73" s="10">
        <f t="shared" si="20"/>
        <v>241.67100578457223</v>
      </c>
      <c r="R73" s="9">
        <f>R72+R71</f>
        <v>5263261</v>
      </c>
      <c r="S73" s="9">
        <f>S72+S71</f>
        <v>4987379</v>
      </c>
      <c r="T73" s="23">
        <f t="shared" si="21"/>
        <v>4.58041293152958</v>
      </c>
      <c r="U73" s="23">
        <f t="shared" si="21"/>
        <v>-0.4529851120326782</v>
      </c>
      <c r="V73" s="23">
        <f t="shared" si="21"/>
        <v>4.106679230847433</v>
      </c>
      <c r="W73" s="23">
        <f t="shared" si="21"/>
        <v>6.549759250452595</v>
      </c>
      <c r="X73" s="23"/>
      <c r="Y73" s="19">
        <f>Y71+Y72</f>
        <v>21465.67</v>
      </c>
      <c r="Z73" s="10">
        <f t="shared" si="25"/>
        <v>242.96325248641205</v>
      </c>
      <c r="AA73" s="19">
        <f>AA71+AA72</f>
        <v>5215369</v>
      </c>
      <c r="AB73" s="19">
        <f>AB71+AB72</f>
        <v>4973249</v>
      </c>
      <c r="AC73" s="23">
        <f t="shared" si="22"/>
        <v>-1.4369597339041604</v>
      </c>
      <c r="AD73" s="23">
        <f t="shared" si="22"/>
        <v>0.5347131724157919</v>
      </c>
      <c r="AE73" s="23">
        <f t="shared" si="22"/>
        <v>-0.9099301744678883</v>
      </c>
      <c r="AF73" s="23">
        <f t="shared" si="22"/>
        <v>-0.2833151440866999</v>
      </c>
      <c r="AG73" s="23"/>
      <c r="AH73" s="19">
        <f>AH71+AH72</f>
        <v>20720.010000000002</v>
      </c>
      <c r="AI73" s="10">
        <f t="shared" si="43"/>
        <v>244.10620458194757</v>
      </c>
      <c r="AJ73" s="19">
        <f>AJ71+AJ72</f>
        <v>5057883</v>
      </c>
      <c r="AK73" s="19">
        <f>AK71+AK72</f>
        <v>4831281</v>
      </c>
      <c r="AL73" s="23">
        <f t="shared" si="55"/>
        <v>-3.47373270901862</v>
      </c>
      <c r="AM73" s="23">
        <f t="shared" si="55"/>
        <v>0.47042179582257404</v>
      </c>
      <c r="AN73" s="23">
        <f t="shared" si="55"/>
        <v>-3.0196521089878843</v>
      </c>
      <c r="AO73" s="23">
        <f t="shared" si="55"/>
        <v>-2.8546328567099692</v>
      </c>
      <c r="AP73" s="23"/>
      <c r="AQ73" s="19">
        <f>AQ71+AQ72</f>
        <v>19555.47</v>
      </c>
      <c r="AR73" s="6" t="s">
        <v>1</v>
      </c>
      <c r="AS73" s="19">
        <f>AS71+AS72</f>
        <v>4755983</v>
      </c>
      <c r="AT73" s="19">
        <f>AT71+AT72</f>
        <v>4561613</v>
      </c>
      <c r="AU73" s="23">
        <f t="shared" si="74"/>
        <v>-5.620364082835877</v>
      </c>
      <c r="AV73" s="23" t="e">
        <f t="shared" si="75"/>
        <v>#VALUE!</v>
      </c>
      <c r="AW73" s="23">
        <f t="shared" si="76"/>
        <v>-5.968900427313173</v>
      </c>
      <c r="AX73" s="23">
        <f t="shared" si="77"/>
        <v>-9.81181257059525</v>
      </c>
      <c r="AY73" s="23"/>
      <c r="AZ73" s="19">
        <f>AZ71+AZ72</f>
        <v>20729.78</v>
      </c>
      <c r="BA73" s="6" t="s">
        <v>1</v>
      </c>
      <c r="BB73" s="19">
        <f>BB71+BB72</f>
        <v>5063493</v>
      </c>
      <c r="BC73" s="19">
        <f>BC71+BC72</f>
        <v>4834570</v>
      </c>
      <c r="BD73" s="23">
        <f t="shared" si="59"/>
        <v>6.0050205901468985</v>
      </c>
      <c r="BE73" s="23" t="e">
        <f t="shared" si="60"/>
        <v>#VALUE!</v>
      </c>
      <c r="BF73" s="23">
        <f t="shared" si="61"/>
        <v>6.465750613490414</v>
      </c>
      <c r="BG73" s="23">
        <f t="shared" si="48"/>
        <v>1.6523818525003122</v>
      </c>
      <c r="BH73" s="23"/>
      <c r="BI73" s="19">
        <f>BI71+BI72</f>
        <v>19774.81</v>
      </c>
      <c r="BJ73" s="6" t="s">
        <v>1</v>
      </c>
      <c r="BK73" s="19">
        <f>BK71+BK72</f>
        <v>5058944</v>
      </c>
      <c r="BL73" s="19">
        <f>BL71+BL72</f>
        <v>4849415</v>
      </c>
      <c r="BM73" s="23">
        <f t="shared" si="62"/>
        <v>-4.606754147897362</v>
      </c>
      <c r="BN73" s="23" t="e">
        <f t="shared" si="63"/>
        <v>#VALUE!</v>
      </c>
      <c r="BO73" s="23">
        <f t="shared" si="64"/>
        <v>-0.08983916833695105</v>
      </c>
      <c r="BP73" s="23">
        <f t="shared" si="50"/>
        <v>-4.227871945315215</v>
      </c>
      <c r="BQ73" s="23"/>
      <c r="BR73" s="19">
        <f>BR71+BR72</f>
        <v>19695.8</v>
      </c>
      <c r="BS73" s="6" t="s">
        <v>1</v>
      </c>
      <c r="BT73" s="19">
        <f>BT71+BT72</f>
        <v>4950943</v>
      </c>
      <c r="BU73" s="19">
        <f>BU71+BU72</f>
        <v>4765281</v>
      </c>
      <c r="BV73" s="23">
        <f t="shared" si="65"/>
        <v>-0.3995487187993234</v>
      </c>
      <c r="BW73" s="23" t="e">
        <f t="shared" si="66"/>
        <v>#VALUE!</v>
      </c>
      <c r="BX73" s="23">
        <f t="shared" si="67"/>
        <v>-2.134852649090405</v>
      </c>
      <c r="BY73" s="23">
        <f t="shared" si="52"/>
        <v>-5.804828043164733</v>
      </c>
      <c r="BZ73" s="19">
        <f>BZ71+BZ72</f>
        <v>15396</v>
      </c>
      <c r="CA73" s="6" t="s">
        <v>1</v>
      </c>
      <c r="CB73" s="19">
        <f>CB71+CB72</f>
        <v>3395914</v>
      </c>
      <c r="CC73" s="19">
        <f>CC71+CC72</f>
        <v>3311056</v>
      </c>
      <c r="CD73" s="23">
        <f t="shared" si="68"/>
        <v>-21.83105027467785</v>
      </c>
      <c r="CE73" s="23" t="e">
        <f t="shared" si="69"/>
        <v>#VALUE!</v>
      </c>
      <c r="CF73" s="23">
        <f t="shared" si="70"/>
        <v>-31.408743748413187</v>
      </c>
      <c r="CG73" s="23">
        <f t="shared" si="71"/>
        <v>-30.51708807938084</v>
      </c>
    </row>
    <row r="74" spans="1:85" ht="12">
      <c r="A74" s="1" t="s">
        <v>71</v>
      </c>
      <c r="B74" s="20">
        <v>11917</v>
      </c>
      <c r="C74" s="10">
        <f t="shared" si="18"/>
        <v>225.97801460099018</v>
      </c>
      <c r="D74" s="11">
        <v>2692980</v>
      </c>
      <c r="E74" s="11">
        <v>2621039</v>
      </c>
      <c r="F74" s="8"/>
      <c r="G74" s="20">
        <v>10369</v>
      </c>
      <c r="H74" s="10">
        <f t="shared" si="19"/>
        <v>259.14408332529655</v>
      </c>
      <c r="I74" s="11">
        <v>2687065</v>
      </c>
      <c r="J74" s="11">
        <v>2617602</v>
      </c>
      <c r="K74" s="23">
        <f t="shared" si="78"/>
        <v>-12.989846437861871</v>
      </c>
      <c r="L74" s="23">
        <f t="shared" si="79"/>
        <v>14.676679403024124</v>
      </c>
      <c r="M74" s="23">
        <f t="shared" si="80"/>
        <v>-0.219645151467887</v>
      </c>
      <c r="N74" s="23">
        <f t="shared" si="81"/>
        <v>-0.1311312040759418</v>
      </c>
      <c r="O74" s="23"/>
      <c r="P74" s="20">
        <v>9571</v>
      </c>
      <c r="Q74" s="10">
        <f t="shared" si="20"/>
        <v>261.7052554591997</v>
      </c>
      <c r="R74" s="11">
        <v>2504781</v>
      </c>
      <c r="S74" s="11">
        <v>2427479</v>
      </c>
      <c r="T74" s="23">
        <f t="shared" si="21"/>
        <v>-7.696016973671519</v>
      </c>
      <c r="U74" s="23">
        <f t="shared" si="21"/>
        <v>0.9883197412954843</v>
      </c>
      <c r="V74" s="23">
        <f t="shared" si="21"/>
        <v>-6.783758487420286</v>
      </c>
      <c r="W74" s="23">
        <f t="shared" si="21"/>
        <v>-7.2632508685430395</v>
      </c>
      <c r="X74" s="23"/>
      <c r="Y74" s="20">
        <v>9640</v>
      </c>
      <c r="Z74" s="10">
        <f t="shared" si="25"/>
        <v>262.90674273858923</v>
      </c>
      <c r="AA74" s="20">
        <v>2534421</v>
      </c>
      <c r="AB74" s="20">
        <v>2474840</v>
      </c>
      <c r="AC74" s="23">
        <f t="shared" si="22"/>
        <v>0.7209278027374353</v>
      </c>
      <c r="AD74" s="23">
        <f t="shared" si="22"/>
        <v>0.4590994083330031</v>
      </c>
      <c r="AE74" s="23">
        <f t="shared" si="22"/>
        <v>1.1833369863473138</v>
      </c>
      <c r="AF74" s="23">
        <f t="shared" si="22"/>
        <v>1.9510364456293985</v>
      </c>
      <c r="AG74" s="23"/>
      <c r="AH74" s="20">
        <v>9423</v>
      </c>
      <c r="AI74" s="10">
        <f t="shared" si="43"/>
        <v>266.2110792741165</v>
      </c>
      <c r="AJ74" s="20">
        <v>2508507</v>
      </c>
      <c r="AK74" s="20">
        <v>2431970</v>
      </c>
      <c r="AL74" s="23">
        <f t="shared" si="55"/>
        <v>-2.251037344398341</v>
      </c>
      <c r="AM74" s="23">
        <f t="shared" si="55"/>
        <v>1.256847390488133</v>
      </c>
      <c r="AN74" s="23">
        <f t="shared" si="55"/>
        <v>-1.022482058032196</v>
      </c>
      <c r="AO74" s="23">
        <f t="shared" si="55"/>
        <v>-1.7322331948732028</v>
      </c>
      <c r="AP74" s="23"/>
      <c r="AQ74" s="20">
        <v>8304</v>
      </c>
      <c r="AR74" s="10">
        <f>AS74/AQ74</f>
        <v>271.57947976878614</v>
      </c>
      <c r="AS74" s="20">
        <v>2255196</v>
      </c>
      <c r="AT74" s="20">
        <v>2176899</v>
      </c>
      <c r="AU74" s="23">
        <f t="shared" si="74"/>
        <v>-11.875198981216172</v>
      </c>
      <c r="AV74" s="23">
        <f t="shared" si="75"/>
        <v>2.016595443475822</v>
      </c>
      <c r="AW74" s="23">
        <f t="shared" si="76"/>
        <v>-10.098078259299257</v>
      </c>
      <c r="AX74" s="23">
        <f t="shared" si="77"/>
        <v>-13.219337239242307</v>
      </c>
      <c r="AY74" s="23"/>
      <c r="AZ74" s="20">
        <v>8430</v>
      </c>
      <c r="BA74" s="10">
        <f>BB74/AZ74</f>
        <v>269.55800711743774</v>
      </c>
      <c r="BB74" s="20">
        <v>2272374</v>
      </c>
      <c r="BC74" s="20">
        <v>2201443</v>
      </c>
      <c r="BD74" s="23">
        <f t="shared" si="59"/>
        <v>1.5173410404624263</v>
      </c>
      <c r="BE74" s="23">
        <f t="shared" si="60"/>
        <v>-0.7443392457594484</v>
      </c>
      <c r="BF74" s="23">
        <f t="shared" si="61"/>
        <v>0.7617076298468106</v>
      </c>
      <c r="BG74" s="23">
        <f t="shared" si="48"/>
        <v>-2.383517884919982</v>
      </c>
      <c r="BH74" s="23"/>
      <c r="BI74" s="20">
        <v>8696</v>
      </c>
      <c r="BJ74" s="10">
        <f>BK74/BI74</f>
        <v>270.2679392824287</v>
      </c>
      <c r="BK74" s="20">
        <v>2350250</v>
      </c>
      <c r="BL74" s="20">
        <v>2277055</v>
      </c>
      <c r="BM74" s="23">
        <f t="shared" si="62"/>
        <v>3.1553973902728387</v>
      </c>
      <c r="BN74" s="23">
        <f t="shared" si="63"/>
        <v>0.2633689767121865</v>
      </c>
      <c r="BO74" s="23">
        <f t="shared" si="64"/>
        <v>3.4270767048029995</v>
      </c>
      <c r="BP74" s="23">
        <f t="shared" si="50"/>
        <v>0.20599602002134532</v>
      </c>
      <c r="BQ74" s="23"/>
      <c r="BR74" s="20">
        <v>8478</v>
      </c>
      <c r="BS74" s="10">
        <f>BT74/BR74</f>
        <v>280.13623496107573</v>
      </c>
      <c r="BT74" s="20">
        <v>2374995</v>
      </c>
      <c r="BU74" s="20">
        <v>2198913</v>
      </c>
      <c r="BV74" s="23">
        <f t="shared" si="65"/>
        <v>-2.506899724011035</v>
      </c>
      <c r="BW74" s="23">
        <f t="shared" si="66"/>
        <v>3.6513008923099477</v>
      </c>
      <c r="BX74" s="23">
        <f t="shared" si="67"/>
        <v>1.0528667163067809</v>
      </c>
      <c r="BY74" s="23">
        <f t="shared" si="52"/>
        <v>-6.4391873204978225</v>
      </c>
      <c r="BZ74" s="20">
        <v>8803</v>
      </c>
      <c r="CA74" s="10">
        <f>CB74/BZ74</f>
        <v>301.06679541065546</v>
      </c>
      <c r="CB74" s="20">
        <v>2650291</v>
      </c>
      <c r="CC74" s="20">
        <v>2580214</v>
      </c>
      <c r="CD74" s="23">
        <f t="shared" si="68"/>
        <v>3.8334512856805816</v>
      </c>
      <c r="CE74" s="23">
        <f t="shared" si="69"/>
        <v>7.471564845043332</v>
      </c>
      <c r="CF74" s="23">
        <f t="shared" si="70"/>
        <v>11.5914349293367</v>
      </c>
      <c r="CG74" s="23">
        <f t="shared" si="71"/>
        <v>17.340431385871113</v>
      </c>
    </row>
    <row r="75" spans="1:85" ht="12">
      <c r="A75" s="1" t="s">
        <v>72</v>
      </c>
      <c r="B75" s="22">
        <v>1073.93</v>
      </c>
      <c r="C75" s="10">
        <f t="shared" si="18"/>
        <v>699.3751920516235</v>
      </c>
      <c r="D75" s="11">
        <v>751080</v>
      </c>
      <c r="E75" s="11">
        <v>728621</v>
      </c>
      <c r="F75" s="8"/>
      <c r="G75" s="22">
        <v>938.36</v>
      </c>
      <c r="H75" s="10">
        <f t="shared" si="19"/>
        <v>777.4041945521974</v>
      </c>
      <c r="I75" s="11">
        <v>729485</v>
      </c>
      <c r="J75" s="11">
        <v>710538</v>
      </c>
      <c r="K75" s="23">
        <f t="shared" si="78"/>
        <v>-12.623727803488123</v>
      </c>
      <c r="L75" s="23">
        <f t="shared" si="79"/>
        <v>11.156958866624251</v>
      </c>
      <c r="M75" s="23">
        <f t="shared" si="80"/>
        <v>-2.8751930553336535</v>
      </c>
      <c r="N75" s="23">
        <f t="shared" si="81"/>
        <v>-2.4818115316467697</v>
      </c>
      <c r="O75" s="23"/>
      <c r="P75" s="22">
        <v>1069.84</v>
      </c>
      <c r="Q75" s="10">
        <f t="shared" si="20"/>
        <v>715.7771255514843</v>
      </c>
      <c r="R75" s="11">
        <v>765767</v>
      </c>
      <c r="S75" s="11">
        <v>740612</v>
      </c>
      <c r="T75" s="23">
        <f t="shared" si="21"/>
        <v>14.011679952257111</v>
      </c>
      <c r="U75" s="23">
        <f t="shared" si="21"/>
        <v>-7.927287945263998</v>
      </c>
      <c r="V75" s="23">
        <f t="shared" si="21"/>
        <v>4.973645791208867</v>
      </c>
      <c r="W75" s="23">
        <f t="shared" si="21"/>
        <v>4.232567434817</v>
      </c>
      <c r="X75" s="23"/>
      <c r="Y75" s="22">
        <v>1088</v>
      </c>
      <c r="Z75" s="10">
        <f t="shared" si="25"/>
        <v>528.2555147058823</v>
      </c>
      <c r="AA75" s="20">
        <v>574742</v>
      </c>
      <c r="AB75" s="20">
        <v>550669</v>
      </c>
      <c r="AC75" s="23">
        <f t="shared" si="22"/>
        <v>1.697450085994177</v>
      </c>
      <c r="AD75" s="23">
        <f t="shared" si="22"/>
        <v>-26.198324052493632</v>
      </c>
      <c r="AE75" s="23">
        <f t="shared" si="22"/>
        <v>-24.94557744065753</v>
      </c>
      <c r="AF75" s="23">
        <f t="shared" si="22"/>
        <v>-25.646762407306383</v>
      </c>
      <c r="AG75" s="23"/>
      <c r="AH75" s="22">
        <v>1640.11</v>
      </c>
      <c r="AI75" s="10">
        <f t="shared" si="43"/>
        <v>469.60691660925187</v>
      </c>
      <c r="AJ75" s="20">
        <v>770207</v>
      </c>
      <c r="AK75" s="20">
        <v>742320</v>
      </c>
      <c r="AL75" s="23">
        <f t="shared" si="55"/>
        <v>50.745404411764696</v>
      </c>
      <c r="AM75" s="23">
        <f t="shared" si="55"/>
        <v>-11.102316296552885</v>
      </c>
      <c r="AN75" s="23">
        <f t="shared" si="55"/>
        <v>34.0091728114528</v>
      </c>
      <c r="AO75" s="23">
        <f t="shared" si="55"/>
        <v>34.80330289157371</v>
      </c>
      <c r="AP75" s="23"/>
      <c r="AQ75" s="22">
        <v>1465.86</v>
      </c>
      <c r="AR75" s="10">
        <f>AS75/AQ75</f>
        <v>560.4627999945425</v>
      </c>
      <c r="AS75" s="20">
        <v>821560</v>
      </c>
      <c r="AT75" s="20">
        <v>802038</v>
      </c>
      <c r="AU75" s="23">
        <f t="shared" si="74"/>
        <v>-10.624287395357626</v>
      </c>
      <c r="AV75" s="23">
        <f t="shared" si="75"/>
        <v>19.34722001994905</v>
      </c>
      <c r="AW75" s="23">
        <f t="shared" si="76"/>
        <v>6.667428366659877</v>
      </c>
      <c r="AX75" s="23">
        <f t="shared" si="77"/>
        <v>4.132785082451861</v>
      </c>
      <c r="AY75" s="23"/>
      <c r="AZ75" s="22">
        <v>1629</v>
      </c>
      <c r="BA75" s="10">
        <f>BB75/AZ75</f>
        <v>518.4198895027624</v>
      </c>
      <c r="BB75" s="20">
        <v>844506</v>
      </c>
      <c r="BC75" s="20">
        <v>825282</v>
      </c>
      <c r="BD75" s="23">
        <f t="shared" si="59"/>
        <v>11.129302934795959</v>
      </c>
      <c r="BE75" s="23">
        <f t="shared" si="60"/>
        <v>-7.5014631644043845</v>
      </c>
      <c r="BF75" s="23">
        <f t="shared" si="61"/>
        <v>2.79297921028288</v>
      </c>
      <c r="BG75" s="23">
        <f t="shared" si="48"/>
        <v>0.45304055698913714</v>
      </c>
      <c r="BH75" s="23"/>
      <c r="BI75" s="22">
        <v>1635.02</v>
      </c>
      <c r="BJ75" s="10">
        <f>BK75/BI75</f>
        <v>511.4029186187325</v>
      </c>
      <c r="BK75" s="20">
        <v>836154</v>
      </c>
      <c r="BL75" s="20">
        <v>810166</v>
      </c>
      <c r="BM75" s="23">
        <f t="shared" si="62"/>
        <v>0.36955187231430386</v>
      </c>
      <c r="BN75" s="23">
        <f t="shared" si="63"/>
        <v>-1.353530415424487</v>
      </c>
      <c r="BO75" s="23">
        <f t="shared" si="64"/>
        <v>-0.9889805401027303</v>
      </c>
      <c r="BP75" s="23">
        <f t="shared" si="50"/>
        <v>-4.066282536772974</v>
      </c>
      <c r="BQ75" s="23"/>
      <c r="BR75" s="22">
        <v>1669.77</v>
      </c>
      <c r="BS75" s="10">
        <f>BT75/BR75</f>
        <v>492.52352120351907</v>
      </c>
      <c r="BT75" s="20">
        <v>822401</v>
      </c>
      <c r="BU75" s="20">
        <v>802911</v>
      </c>
      <c r="BV75" s="23">
        <f t="shared" si="65"/>
        <v>2.125356264755169</v>
      </c>
      <c r="BW75" s="23">
        <f t="shared" si="66"/>
        <v>-3.691687459705065</v>
      </c>
      <c r="BX75" s="23">
        <f t="shared" si="67"/>
        <v>-1.6447927056499196</v>
      </c>
      <c r="BY75" s="23">
        <f t="shared" si="52"/>
        <v>-3.975703040349032</v>
      </c>
      <c r="BZ75" s="22"/>
      <c r="CA75" s="10" t="e">
        <f>CB75/BZ75</f>
        <v>#DIV/0!</v>
      </c>
      <c r="CB75" s="20"/>
      <c r="CC75" s="20"/>
      <c r="CD75" s="23">
        <f t="shared" si="68"/>
        <v>-100</v>
      </c>
      <c r="CE75" s="23" t="e">
        <f t="shared" si="69"/>
        <v>#DIV/0!</v>
      </c>
      <c r="CF75" s="23">
        <f t="shared" si="70"/>
        <v>-100</v>
      </c>
      <c r="CG75" s="23">
        <f t="shared" si="71"/>
        <v>-100</v>
      </c>
    </row>
    <row r="76" spans="1:85" ht="12">
      <c r="A76" s="1" t="s">
        <v>73</v>
      </c>
      <c r="B76" s="19">
        <f>B74+B75</f>
        <v>12990.93</v>
      </c>
      <c r="C76" s="10">
        <f t="shared" si="18"/>
        <v>265.11265937080714</v>
      </c>
      <c r="D76" s="9">
        <f>D75+D74</f>
        <v>3444060</v>
      </c>
      <c r="E76" s="9">
        <f>E75+E74</f>
        <v>3349660</v>
      </c>
      <c r="F76" s="8"/>
      <c r="G76" s="19">
        <f>G74+G75</f>
        <v>11307.36</v>
      </c>
      <c r="H76" s="10">
        <f t="shared" si="19"/>
        <v>302.1527571422507</v>
      </c>
      <c r="I76" s="9">
        <f>I75+I74</f>
        <v>3416550</v>
      </c>
      <c r="J76" s="9">
        <f>J75+J74</f>
        <v>3328140</v>
      </c>
      <c r="K76" s="23">
        <f aca="true" t="shared" si="87" ref="K76:K107">G76*100/B76-100</f>
        <v>-12.959580260997484</v>
      </c>
      <c r="L76" s="23">
        <f aca="true" t="shared" si="88" ref="L76:L107">H76*100/C76-100</f>
        <v>13.97145570466192</v>
      </c>
      <c r="M76" s="23">
        <f aca="true" t="shared" si="89" ref="M76:M107">I76*100/D76-100</f>
        <v>-0.7987665720109476</v>
      </c>
      <c r="N76" s="23">
        <f aca="true" t="shared" si="90" ref="N76:N107">J76*100/E76-100</f>
        <v>-0.6424532639133531</v>
      </c>
      <c r="O76" s="23"/>
      <c r="P76" s="19">
        <f>P74+P75</f>
        <v>10640.84</v>
      </c>
      <c r="Q76" s="10">
        <f t="shared" si="20"/>
        <v>307.35806571661635</v>
      </c>
      <c r="R76" s="9">
        <f>R75+R74</f>
        <v>3270548</v>
      </c>
      <c r="S76" s="9">
        <f>S75+S74</f>
        <v>3168091</v>
      </c>
      <c r="T76" s="23">
        <f t="shared" si="21"/>
        <v>-5.894567785937653</v>
      </c>
      <c r="U76" s="23">
        <f t="shared" si="21"/>
        <v>1.7227407168470847</v>
      </c>
      <c r="V76" s="23">
        <f t="shared" si="21"/>
        <v>-4.2733751884210704</v>
      </c>
      <c r="W76" s="23">
        <f t="shared" si="21"/>
        <v>-4.808962363362113</v>
      </c>
      <c r="X76" s="23"/>
      <c r="Y76" s="36">
        <f>Y74+Y75</f>
        <v>10728</v>
      </c>
      <c r="Z76" s="10">
        <f t="shared" si="25"/>
        <v>289.81758016405666</v>
      </c>
      <c r="AA76" s="19">
        <f>AA74+AA75</f>
        <v>3109163</v>
      </c>
      <c r="AB76" s="19">
        <f>AB74+AB75</f>
        <v>3025509</v>
      </c>
      <c r="AC76" s="23">
        <f t="shared" si="22"/>
        <v>0.8191082658887865</v>
      </c>
      <c r="AD76" s="23">
        <f t="shared" si="22"/>
        <v>-5.706857085940925</v>
      </c>
      <c r="AE76" s="23">
        <f t="shared" si="22"/>
        <v>-4.934494158165549</v>
      </c>
      <c r="AF76" s="23">
        <f t="shared" si="22"/>
        <v>-4.500565166846528</v>
      </c>
      <c r="AG76" s="23"/>
      <c r="AH76" s="19">
        <f>AH74+AH75</f>
        <v>11063.11</v>
      </c>
      <c r="AI76" s="10">
        <f t="shared" si="43"/>
        <v>296.3645846421124</v>
      </c>
      <c r="AJ76" s="19">
        <f>AJ74+AJ75</f>
        <v>3278714</v>
      </c>
      <c r="AK76" s="19">
        <f>AK74+AK75</f>
        <v>3174290</v>
      </c>
      <c r="AL76" s="23">
        <f t="shared" si="55"/>
        <v>3.1236950037285567</v>
      </c>
      <c r="AM76" s="23">
        <f t="shared" si="55"/>
        <v>2.2590087441726894</v>
      </c>
      <c r="AN76" s="23">
        <f t="shared" si="55"/>
        <v>5.453268291176755</v>
      </c>
      <c r="AO76" s="23">
        <f t="shared" si="55"/>
        <v>4.917552715923165</v>
      </c>
      <c r="AP76" s="23"/>
      <c r="AQ76" s="19">
        <f>AQ74+AQ75</f>
        <v>9769.86</v>
      </c>
      <c r="AR76" s="6" t="s">
        <v>1</v>
      </c>
      <c r="AS76" s="19">
        <f>AS74+AS75</f>
        <v>3076756</v>
      </c>
      <c r="AT76" s="19">
        <f>AT74+AT75</f>
        <v>2978937</v>
      </c>
      <c r="AU76" s="23">
        <f t="shared" si="74"/>
        <v>-11.689750892832123</v>
      </c>
      <c r="AV76" s="23" t="e">
        <f t="shared" si="75"/>
        <v>#VALUE!</v>
      </c>
      <c r="AW76" s="23">
        <f t="shared" si="76"/>
        <v>-6.159671139355254</v>
      </c>
      <c r="AX76" s="23">
        <f t="shared" si="77"/>
        <v>-9.143127457899652</v>
      </c>
      <c r="AY76" s="23"/>
      <c r="AZ76" s="19">
        <f>AZ74+AZ75</f>
        <v>10059</v>
      </c>
      <c r="BA76" s="6" t="s">
        <v>1</v>
      </c>
      <c r="BB76" s="19">
        <f>BB74+BB75</f>
        <v>3116880</v>
      </c>
      <c r="BC76" s="19">
        <f>BC74+BC75</f>
        <v>3026725</v>
      </c>
      <c r="BD76" s="23">
        <f t="shared" si="59"/>
        <v>2.9595101669829376</v>
      </c>
      <c r="BE76" s="23" t="e">
        <f t="shared" si="60"/>
        <v>#VALUE!</v>
      </c>
      <c r="BF76" s="23">
        <f t="shared" si="61"/>
        <v>1.3041008126741218</v>
      </c>
      <c r="BG76" s="23">
        <f t="shared" si="48"/>
        <v>-1.6260957970017813</v>
      </c>
      <c r="BH76" s="23"/>
      <c r="BI76" s="19">
        <f>BI74+BI75</f>
        <v>10331.02</v>
      </c>
      <c r="BJ76" s="6" t="s">
        <v>1</v>
      </c>
      <c r="BK76" s="19">
        <f>BK74+BK75</f>
        <v>3186404</v>
      </c>
      <c r="BL76" s="19">
        <f>BL74+BL75</f>
        <v>3087221</v>
      </c>
      <c r="BM76" s="23">
        <f t="shared" si="62"/>
        <v>2.704244954766878</v>
      </c>
      <c r="BN76" s="23" t="e">
        <f t="shared" si="63"/>
        <v>#VALUE!</v>
      </c>
      <c r="BO76" s="23">
        <f t="shared" si="64"/>
        <v>2.2305638972305672</v>
      </c>
      <c r="BP76" s="23">
        <f t="shared" si="50"/>
        <v>-0.951560534893872</v>
      </c>
      <c r="BQ76" s="23"/>
      <c r="BR76" s="19">
        <f>BR74+BR75</f>
        <v>10147.77</v>
      </c>
      <c r="BS76" s="6" t="s">
        <v>1</v>
      </c>
      <c r="BT76" s="19">
        <f>BT74+BT75</f>
        <v>3197396</v>
      </c>
      <c r="BU76" s="19">
        <f>BU74+BU75</f>
        <v>3001824</v>
      </c>
      <c r="BV76" s="23">
        <f t="shared" si="65"/>
        <v>-1.773784195558619</v>
      </c>
      <c r="BW76" s="23" t="e">
        <f t="shared" si="66"/>
        <v>#VALUE!</v>
      </c>
      <c r="BX76" s="23">
        <f t="shared" si="67"/>
        <v>0.34496567290274527</v>
      </c>
      <c r="BY76" s="23">
        <f t="shared" si="52"/>
        <v>-5.792736890865058</v>
      </c>
      <c r="BZ76" s="19">
        <f>BZ74+BZ75</f>
        <v>8803</v>
      </c>
      <c r="CA76" s="6" t="s">
        <v>1</v>
      </c>
      <c r="CB76" s="19">
        <f>CB74+CB75</f>
        <v>2650291</v>
      </c>
      <c r="CC76" s="19">
        <f>CC74+CC75</f>
        <v>2580214</v>
      </c>
      <c r="CD76" s="23">
        <f t="shared" si="68"/>
        <v>-13.251877013373388</v>
      </c>
      <c r="CE76" s="23" t="e">
        <f t="shared" si="69"/>
        <v>#VALUE!</v>
      </c>
      <c r="CF76" s="23">
        <f t="shared" si="70"/>
        <v>-17.110955289867135</v>
      </c>
      <c r="CG76" s="23">
        <f t="shared" si="71"/>
        <v>-14.045127229311248</v>
      </c>
    </row>
    <row r="77" spans="1:85" ht="12">
      <c r="A77" s="1" t="s">
        <v>131</v>
      </c>
      <c r="B77" s="20">
        <v>22450</v>
      </c>
      <c r="C77" s="10">
        <f t="shared" si="18"/>
        <v>227.12440979955457</v>
      </c>
      <c r="D77" s="11">
        <v>5098943</v>
      </c>
      <c r="E77" s="11">
        <v>4983550</v>
      </c>
      <c r="F77" s="8"/>
      <c r="G77" s="20">
        <v>24866</v>
      </c>
      <c r="H77" s="10">
        <f t="shared" si="19"/>
        <v>218.45355103353978</v>
      </c>
      <c r="I77" s="11">
        <v>5432066</v>
      </c>
      <c r="J77" s="11">
        <v>5340268</v>
      </c>
      <c r="K77" s="23">
        <f t="shared" si="87"/>
        <v>10.76169265033407</v>
      </c>
      <c r="L77" s="23">
        <f t="shared" si="88"/>
        <v>-3.817669256099393</v>
      </c>
      <c r="M77" s="23">
        <f t="shared" si="89"/>
        <v>6.533177562486969</v>
      </c>
      <c r="N77" s="23">
        <f t="shared" si="90"/>
        <v>7.157909522328467</v>
      </c>
      <c r="O77" s="23"/>
      <c r="P77" s="20">
        <v>22732</v>
      </c>
      <c r="Q77" s="10">
        <f t="shared" si="20"/>
        <v>231.25796234383247</v>
      </c>
      <c r="R77" s="11">
        <v>5256956</v>
      </c>
      <c r="S77" s="11">
        <v>5036036</v>
      </c>
      <c r="T77" s="23">
        <f t="shared" si="21"/>
        <v>-8.581999517413337</v>
      </c>
      <c r="U77" s="23">
        <f t="shared" si="21"/>
        <v>5.861388496416254</v>
      </c>
      <c r="V77" s="23">
        <f t="shared" si="21"/>
        <v>-3.2236353534732416</v>
      </c>
      <c r="W77" s="23">
        <f t="shared" si="21"/>
        <v>-5.696942550448782</v>
      </c>
      <c r="X77" s="23"/>
      <c r="Y77" s="20">
        <v>24434</v>
      </c>
      <c r="Z77" s="10">
        <f t="shared" si="25"/>
        <v>232.85585659327168</v>
      </c>
      <c r="AA77" s="20">
        <v>5689600</v>
      </c>
      <c r="AB77" s="20">
        <v>5549225</v>
      </c>
      <c r="AC77" s="23">
        <f t="shared" si="22"/>
        <v>7.487242653528071</v>
      </c>
      <c r="AD77" s="23">
        <f t="shared" si="22"/>
        <v>0.6909575061737598</v>
      </c>
      <c r="AE77" s="23">
        <f t="shared" si="22"/>
        <v>8.229933824821813</v>
      </c>
      <c r="AF77" s="23">
        <f t="shared" si="22"/>
        <v>10.190336208875394</v>
      </c>
      <c r="AG77" s="23"/>
      <c r="AH77" s="20">
        <v>23173</v>
      </c>
      <c r="AI77" s="10">
        <f t="shared" si="43"/>
        <v>237.4078021835757</v>
      </c>
      <c r="AJ77" s="20">
        <v>5501451</v>
      </c>
      <c r="AK77" s="20">
        <v>5362299</v>
      </c>
      <c r="AL77" s="23">
        <f t="shared" si="55"/>
        <v>-5.160841450437914</v>
      </c>
      <c r="AM77" s="23">
        <f t="shared" si="55"/>
        <v>1.9548340578158019</v>
      </c>
      <c r="AN77" s="23">
        <f t="shared" si="55"/>
        <v>-3.306893278965134</v>
      </c>
      <c r="AO77" s="23">
        <f t="shared" si="55"/>
        <v>-3.3685064130576734</v>
      </c>
      <c r="AP77" s="23"/>
      <c r="AQ77" s="20">
        <v>20557</v>
      </c>
      <c r="AR77" s="10">
        <f>AS77/AQ77</f>
        <v>232.5945420051564</v>
      </c>
      <c r="AS77" s="20">
        <v>4781446</v>
      </c>
      <c r="AT77" s="20">
        <v>4612416</v>
      </c>
      <c r="AU77" s="23">
        <f t="shared" si="74"/>
        <v>-11.289000129461016</v>
      </c>
      <c r="AV77" s="23">
        <f t="shared" si="75"/>
        <v>-2.027422912873547</v>
      </c>
      <c r="AW77" s="23">
        <f t="shared" si="76"/>
        <v>-13.087547267075536</v>
      </c>
      <c r="AX77" s="23">
        <f t="shared" si="77"/>
        <v>-16.1600094229686</v>
      </c>
      <c r="AY77" s="23"/>
      <c r="AZ77" s="20">
        <v>21225</v>
      </c>
      <c r="BA77" s="10">
        <f>BB77/AZ77</f>
        <v>230.6447585394582</v>
      </c>
      <c r="BB77" s="20">
        <v>4895435</v>
      </c>
      <c r="BC77" s="20">
        <v>4676049</v>
      </c>
      <c r="BD77" s="23">
        <f t="shared" si="59"/>
        <v>3.2495013863890705</v>
      </c>
      <c r="BE77" s="23">
        <f t="shared" si="60"/>
        <v>-0.8382756744373552</v>
      </c>
      <c r="BF77" s="23">
        <f t="shared" si="61"/>
        <v>2.3839859322891073</v>
      </c>
      <c r="BG77" s="23">
        <f t="shared" si="48"/>
        <v>-2.2042913378086837</v>
      </c>
      <c r="BH77" s="23"/>
      <c r="BI77" s="20">
        <v>21753</v>
      </c>
      <c r="BJ77" s="10">
        <f>BK77/BI77</f>
        <v>221.26970992506781</v>
      </c>
      <c r="BK77" s="20">
        <v>4813280</v>
      </c>
      <c r="BL77" s="20">
        <v>4587807</v>
      </c>
      <c r="BM77" s="45"/>
      <c r="BN77" s="23">
        <f t="shared" si="63"/>
        <v>-4.064713490025625</v>
      </c>
      <c r="BO77" s="23">
        <f t="shared" si="64"/>
        <v>-1.6781961153605351</v>
      </c>
      <c r="BP77" s="23">
        <f t="shared" si="50"/>
        <v>-6.283976806964034</v>
      </c>
      <c r="BQ77" s="23"/>
      <c r="BR77" s="20">
        <v>21498</v>
      </c>
      <c r="BS77" s="10">
        <f>BT77/BR77</f>
        <v>245.24411573169598</v>
      </c>
      <c r="BT77" s="20">
        <v>5272258</v>
      </c>
      <c r="BU77" s="20">
        <v>4939086</v>
      </c>
      <c r="BV77" s="23">
        <f t="shared" si="65"/>
        <v>-1.1722521031581863</v>
      </c>
      <c r="BW77" s="23">
        <f t="shared" si="66"/>
        <v>10.834924407297791</v>
      </c>
      <c r="BX77" s="23">
        <f t="shared" si="67"/>
        <v>9.535659674899449</v>
      </c>
      <c r="BY77" s="23">
        <f t="shared" si="52"/>
        <v>2.613727021906058</v>
      </c>
      <c r="BZ77" s="20">
        <v>22615</v>
      </c>
      <c r="CA77" s="10">
        <f>CB77/BZ77</f>
        <v>249.50811408357285</v>
      </c>
      <c r="CB77" s="20">
        <v>5642626</v>
      </c>
      <c r="CC77" s="20">
        <v>5428363</v>
      </c>
      <c r="CD77" s="23">
        <f t="shared" si="68"/>
        <v>5.195832170434457</v>
      </c>
      <c r="CE77" s="23">
        <f t="shared" si="69"/>
        <v>1.7386750907988358</v>
      </c>
      <c r="CF77" s="23">
        <f t="shared" si="70"/>
        <v>7.024845900940363</v>
      </c>
      <c r="CG77" s="23">
        <f t="shared" si="71"/>
        <v>9.906225564810981</v>
      </c>
    </row>
    <row r="78" spans="1:85" ht="12">
      <c r="A78" s="1" t="s">
        <v>74</v>
      </c>
      <c r="B78" s="22">
        <v>3496.88</v>
      </c>
      <c r="C78" s="10">
        <f t="shared" si="18"/>
        <v>346.51289149184413</v>
      </c>
      <c r="D78" s="11">
        <v>1211714</v>
      </c>
      <c r="E78" s="11">
        <v>1183088</v>
      </c>
      <c r="F78" s="8"/>
      <c r="G78" s="22">
        <v>3333.5</v>
      </c>
      <c r="H78" s="10">
        <f t="shared" si="19"/>
        <v>374.393580320984</v>
      </c>
      <c r="I78" s="11">
        <v>1248041</v>
      </c>
      <c r="J78" s="11">
        <v>1219245</v>
      </c>
      <c r="K78" s="23">
        <f t="shared" si="87"/>
        <v>-4.672164901283438</v>
      </c>
      <c r="L78" s="23">
        <f t="shared" si="88"/>
        <v>8.046075489170093</v>
      </c>
      <c r="M78" s="23">
        <f t="shared" si="89"/>
        <v>2.997984672950878</v>
      </c>
      <c r="N78" s="23">
        <f t="shared" si="90"/>
        <v>3.0561547408138665</v>
      </c>
      <c r="O78" s="23"/>
      <c r="P78" s="22">
        <v>3208.91</v>
      </c>
      <c r="Q78" s="10">
        <f t="shared" si="20"/>
        <v>376.49638039084925</v>
      </c>
      <c r="R78" s="11">
        <v>1208143</v>
      </c>
      <c r="S78" s="11">
        <v>1176635</v>
      </c>
      <c r="T78" s="23">
        <f t="shared" si="21"/>
        <v>-3.737513124343778</v>
      </c>
      <c r="U78" s="23">
        <f t="shared" si="21"/>
        <v>0.5616549482665931</v>
      </c>
      <c r="V78" s="23">
        <f t="shared" si="21"/>
        <v>-3.196850103482177</v>
      </c>
      <c r="W78" s="23">
        <f t="shared" si="21"/>
        <v>-3.4947857075485302</v>
      </c>
      <c r="X78" s="23"/>
      <c r="Y78" s="22">
        <v>3249.45</v>
      </c>
      <c r="Z78" s="10">
        <f t="shared" si="25"/>
        <v>353.19392512579054</v>
      </c>
      <c r="AA78" s="20">
        <v>1147686</v>
      </c>
      <c r="AB78" s="20">
        <v>1114606</v>
      </c>
      <c r="AC78" s="23">
        <f aca="true" t="shared" si="91" ref="AC78:AF119">Y78*100/P78-100</f>
        <v>1.2633573394080884</v>
      </c>
      <c r="AD78" s="23">
        <f t="shared" si="91"/>
        <v>-6.189290648921485</v>
      </c>
      <c r="AE78" s="23">
        <f t="shared" si="91"/>
        <v>-5.0041261671838555</v>
      </c>
      <c r="AF78" s="23">
        <f t="shared" si="91"/>
        <v>-5.27172827597343</v>
      </c>
      <c r="AG78" s="23"/>
      <c r="AH78" s="22">
        <v>3193.45</v>
      </c>
      <c r="AI78" s="10">
        <f t="shared" si="43"/>
        <v>356.61525935900045</v>
      </c>
      <c r="AJ78" s="20">
        <v>1138833</v>
      </c>
      <c r="AK78" s="20">
        <v>1106114</v>
      </c>
      <c r="AL78" s="23">
        <f t="shared" si="55"/>
        <v>-1.723368570065702</v>
      </c>
      <c r="AM78" s="23">
        <f t="shared" si="55"/>
        <v>0.9686843373626601</v>
      </c>
      <c r="AN78" s="23">
        <f t="shared" si="55"/>
        <v>-0.7713782341162982</v>
      </c>
      <c r="AO78" s="23">
        <f t="shared" si="55"/>
        <v>-0.7618835714144723</v>
      </c>
      <c r="AP78" s="23"/>
      <c r="AQ78" s="22">
        <v>2690.37</v>
      </c>
      <c r="AR78" s="10">
        <f>AS78/AQ78</f>
        <v>352.52586075521214</v>
      </c>
      <c r="AS78" s="20">
        <v>948425</v>
      </c>
      <c r="AT78" s="20">
        <v>922365</v>
      </c>
      <c r="AU78" s="23">
        <f t="shared" si="74"/>
        <v>-15.753495435970493</v>
      </c>
      <c r="AV78" s="23">
        <f t="shared" si="75"/>
        <v>-1.1467256367937892</v>
      </c>
      <c r="AW78" s="23">
        <f t="shared" si="76"/>
        <v>-16.71957170190889</v>
      </c>
      <c r="AX78" s="23">
        <f t="shared" si="77"/>
        <v>-19.007879118360634</v>
      </c>
      <c r="AY78" s="23"/>
      <c r="AZ78" s="22">
        <v>3312.98</v>
      </c>
      <c r="BA78" s="10">
        <f>BB78/AZ78</f>
        <v>363.3281818785504</v>
      </c>
      <c r="BB78" s="20">
        <v>1203699</v>
      </c>
      <c r="BC78" s="20">
        <v>1176574</v>
      </c>
      <c r="BD78" s="23">
        <f t="shared" si="59"/>
        <v>23.1421700360917</v>
      </c>
      <c r="BE78" s="23">
        <f t="shared" si="60"/>
        <v>3.0642634557920445</v>
      </c>
      <c r="BF78" s="23">
        <f t="shared" si="61"/>
        <v>26.915570551176955</v>
      </c>
      <c r="BG78" s="23">
        <f t="shared" si="48"/>
        <v>24.05556580646862</v>
      </c>
      <c r="BH78" s="23"/>
      <c r="BI78" s="22">
        <v>3273.47</v>
      </c>
      <c r="BJ78" s="10">
        <f>BK78/BI78</f>
        <v>323.44576244780006</v>
      </c>
      <c r="BK78" s="20">
        <v>1058790</v>
      </c>
      <c r="BL78" s="20">
        <v>1012334</v>
      </c>
      <c r="BM78" s="23">
        <f t="shared" si="62"/>
        <v>-1.1925819051126183</v>
      </c>
      <c r="BN78" s="23">
        <f t="shared" si="63"/>
        <v>-10.97696832228715</v>
      </c>
      <c r="BO78" s="23">
        <f t="shared" si="64"/>
        <v>-12.03864088945825</v>
      </c>
      <c r="BP78" s="23">
        <f t="shared" si="50"/>
        <v>-15.89807750941057</v>
      </c>
      <c r="BQ78" s="23"/>
      <c r="BR78" s="22">
        <v>3298.52</v>
      </c>
      <c r="BS78" s="10">
        <f>BT78/BR78</f>
        <v>319.9413676436705</v>
      </c>
      <c r="BT78" s="20">
        <v>1055333</v>
      </c>
      <c r="BU78" s="20">
        <v>1016924</v>
      </c>
      <c r="BV78" s="45"/>
      <c r="BW78" s="23">
        <f t="shared" si="66"/>
        <v>-1.0834567061904607</v>
      </c>
      <c r="BX78" s="23">
        <f t="shared" si="67"/>
        <v>-0.3265047837626014</v>
      </c>
      <c r="BY78" s="23">
        <f t="shared" si="52"/>
        <v>-3.954136325428081</v>
      </c>
      <c r="BZ78" s="22"/>
      <c r="CA78" s="10" t="e">
        <f>CB78/BZ78</f>
        <v>#DIV/0!</v>
      </c>
      <c r="CB78" s="20"/>
      <c r="CC78" s="20"/>
      <c r="CD78" s="23">
        <f t="shared" si="68"/>
        <v>-100</v>
      </c>
      <c r="CE78" s="23" t="e">
        <f t="shared" si="69"/>
        <v>#DIV/0!</v>
      </c>
      <c r="CF78" s="23">
        <f t="shared" si="70"/>
        <v>-100</v>
      </c>
      <c r="CG78" s="23">
        <f t="shared" si="71"/>
        <v>-100</v>
      </c>
    </row>
    <row r="79" spans="1:85" ht="12">
      <c r="A79" s="1" t="s">
        <v>75</v>
      </c>
      <c r="B79" s="19">
        <f>B77+B78</f>
        <v>25946.88</v>
      </c>
      <c r="C79" s="10">
        <f aca="true" t="shared" si="92" ref="C79:C116">D79/B79</f>
        <v>243.21448282028513</v>
      </c>
      <c r="D79" s="9">
        <f>D78+D77</f>
        <v>6310657</v>
      </c>
      <c r="E79" s="9">
        <f>E78+E77</f>
        <v>6166638</v>
      </c>
      <c r="F79" s="8"/>
      <c r="G79" s="19">
        <f>G77+G78</f>
        <v>28199.5</v>
      </c>
      <c r="H79" s="10">
        <f aca="true" t="shared" si="93" ref="H79:H116">I79/G79</f>
        <v>236.88742708204046</v>
      </c>
      <c r="I79" s="9">
        <f>I78+I77</f>
        <v>6680107</v>
      </c>
      <c r="J79" s="9">
        <f>J78+J77</f>
        <v>6559513</v>
      </c>
      <c r="K79" s="23">
        <f t="shared" si="87"/>
        <v>8.681660376893092</v>
      </c>
      <c r="L79" s="23">
        <f t="shared" si="88"/>
        <v>-2.6014305007156366</v>
      </c>
      <c r="M79" s="23">
        <f t="shared" si="89"/>
        <v>5.854382515164431</v>
      </c>
      <c r="N79" s="23">
        <f t="shared" si="90"/>
        <v>6.370975562372891</v>
      </c>
      <c r="O79" s="23"/>
      <c r="P79" s="19">
        <f>P77+P78</f>
        <v>25940.91</v>
      </c>
      <c r="Q79" s="10">
        <f aca="true" t="shared" si="94" ref="Q79:Q116">R79/P79</f>
        <v>249.2240634580668</v>
      </c>
      <c r="R79" s="9">
        <f>R78+R77</f>
        <v>6465099</v>
      </c>
      <c r="S79" s="9">
        <f>S78+S77</f>
        <v>6212671</v>
      </c>
      <c r="T79" s="23">
        <f aca="true" t="shared" si="95" ref="T79:W119">P79*100/G79-100</f>
        <v>-8.00932640649657</v>
      </c>
      <c r="U79" s="23">
        <f t="shared" si="95"/>
        <v>5.207805466076437</v>
      </c>
      <c r="V79" s="23">
        <f t="shared" si="95"/>
        <v>-3.2186310788135586</v>
      </c>
      <c r="W79" s="23">
        <f t="shared" si="95"/>
        <v>-5.28761815092065</v>
      </c>
      <c r="X79" s="23"/>
      <c r="Y79" s="36">
        <f>Y77+Y78</f>
        <v>27683.45</v>
      </c>
      <c r="Z79" s="10">
        <f t="shared" si="25"/>
        <v>246.98099405962768</v>
      </c>
      <c r="AA79" s="19">
        <f>AA77+AA78</f>
        <v>6837286</v>
      </c>
      <c r="AB79" s="19">
        <f>AB77+AB78</f>
        <v>6663831</v>
      </c>
      <c r="AC79" s="23">
        <f t="shared" si="91"/>
        <v>6.7173433776995495</v>
      </c>
      <c r="AD79" s="23">
        <f t="shared" si="91"/>
        <v>-0.9000211967158407</v>
      </c>
      <c r="AE79" s="23">
        <f t="shared" si="91"/>
        <v>5.756864666728234</v>
      </c>
      <c r="AF79" s="23">
        <f t="shared" si="91"/>
        <v>7.261932910981443</v>
      </c>
      <c r="AG79" s="23"/>
      <c r="AH79" s="19">
        <f>AH77+AH78</f>
        <v>26366.45</v>
      </c>
      <c r="AI79" s="10">
        <f t="shared" si="43"/>
        <v>251.8459633359819</v>
      </c>
      <c r="AJ79" s="19">
        <f>AJ77+AJ78</f>
        <v>6640284</v>
      </c>
      <c r="AK79" s="19">
        <f>AK77+AK78</f>
        <v>6468413</v>
      </c>
      <c r="AL79" s="23">
        <f t="shared" si="55"/>
        <v>-4.7573550261979705</v>
      </c>
      <c r="AM79" s="23">
        <f t="shared" si="55"/>
        <v>1.9697747573158182</v>
      </c>
      <c r="AN79" s="23">
        <f t="shared" si="55"/>
        <v>-2.881289447304084</v>
      </c>
      <c r="AO79" s="23">
        <f t="shared" si="55"/>
        <v>-2.932517346253235</v>
      </c>
      <c r="AP79" s="23"/>
      <c r="AQ79" s="19">
        <f>AQ77+AQ78</f>
        <v>23247.37</v>
      </c>
      <c r="AR79" s="6" t="s">
        <v>1</v>
      </c>
      <c r="AS79" s="19">
        <f>AS77+AS78</f>
        <v>5729871</v>
      </c>
      <c r="AT79" s="19">
        <f>AT77+AT78</f>
        <v>5534781</v>
      </c>
      <c r="AU79" s="23">
        <f t="shared" si="74"/>
        <v>-11.829730585649571</v>
      </c>
      <c r="AV79" s="23" t="e">
        <f t="shared" si="75"/>
        <v>#VALUE!</v>
      </c>
      <c r="AW79" s="23">
        <f t="shared" si="76"/>
        <v>-13.710452745695818</v>
      </c>
      <c r="AX79" s="23">
        <f t="shared" si="77"/>
        <v>-16.648429494883047</v>
      </c>
      <c r="AY79" s="23"/>
      <c r="AZ79" s="19">
        <f>AZ77+AZ78</f>
        <v>24537.98</v>
      </c>
      <c r="BA79" s="6" t="s">
        <v>1</v>
      </c>
      <c r="BB79" s="19">
        <f>BB77+BB78</f>
        <v>6099134</v>
      </c>
      <c r="BC79" s="19">
        <f>BC77+BC78</f>
        <v>5852623</v>
      </c>
      <c r="BD79" s="23">
        <f t="shared" si="59"/>
        <v>5.551638744511749</v>
      </c>
      <c r="BE79" s="23" t="e">
        <f t="shared" si="60"/>
        <v>#VALUE!</v>
      </c>
      <c r="BF79" s="23">
        <f t="shared" si="61"/>
        <v>6.444525539929259</v>
      </c>
      <c r="BG79" s="23">
        <f t="shared" si="48"/>
        <v>2.1423169910806052</v>
      </c>
      <c r="BH79" s="23"/>
      <c r="BI79" s="19">
        <f>BI77+BI78</f>
        <v>25026.47</v>
      </c>
      <c r="BJ79" s="6" t="s">
        <v>1</v>
      </c>
      <c r="BK79" s="19">
        <f>BK77+BK78</f>
        <v>5872070</v>
      </c>
      <c r="BL79" s="19">
        <f>BL77+BL78</f>
        <v>5600141</v>
      </c>
      <c r="BM79" s="23">
        <f t="shared" si="62"/>
        <v>1.9907506648876563</v>
      </c>
      <c r="BN79" s="23" t="e">
        <f t="shared" si="63"/>
        <v>#VALUE!</v>
      </c>
      <c r="BO79" s="23">
        <f t="shared" si="64"/>
        <v>-3.722889183939884</v>
      </c>
      <c r="BP79" s="23">
        <f t="shared" si="50"/>
        <v>-8.181374601705755</v>
      </c>
      <c r="BQ79" s="23"/>
      <c r="BR79" s="19">
        <f>BR77+BR78</f>
        <v>24796.52</v>
      </c>
      <c r="BS79" s="6" t="s">
        <v>1</v>
      </c>
      <c r="BT79" s="19">
        <f>BT77+BT78</f>
        <v>6327591</v>
      </c>
      <c r="BU79" s="19">
        <f>BU77+BU78</f>
        <v>5956010</v>
      </c>
      <c r="BV79" s="23">
        <f t="shared" si="65"/>
        <v>-0.918827145818014</v>
      </c>
      <c r="BW79" s="23" t="e">
        <f t="shared" si="66"/>
        <v>#VALUE!</v>
      </c>
      <c r="BX79" s="23">
        <f t="shared" si="67"/>
        <v>7.757417741954711</v>
      </c>
      <c r="BY79" s="23">
        <f t="shared" si="52"/>
        <v>1.4294788720161762</v>
      </c>
      <c r="BZ79" s="19">
        <f>BZ77+BZ78</f>
        <v>22615</v>
      </c>
      <c r="CA79" s="6" t="s">
        <v>1</v>
      </c>
      <c r="CB79" s="19">
        <f>CB77+CB78</f>
        <v>5642626</v>
      </c>
      <c r="CC79" s="19">
        <f>CC77+CC78</f>
        <v>5428363</v>
      </c>
      <c r="CD79" s="23">
        <f t="shared" si="68"/>
        <v>-8.797686126924262</v>
      </c>
      <c r="CE79" s="23" t="e">
        <f t="shared" si="69"/>
        <v>#VALUE!</v>
      </c>
      <c r="CF79" s="23">
        <f t="shared" si="70"/>
        <v>-10.82505174560113</v>
      </c>
      <c r="CG79" s="23">
        <f t="shared" si="71"/>
        <v>-8.859068403175954</v>
      </c>
    </row>
    <row r="80" spans="1:85" ht="12">
      <c r="A80" s="1" t="s">
        <v>76</v>
      </c>
      <c r="B80" s="20">
        <v>13504</v>
      </c>
      <c r="C80" s="10">
        <f t="shared" si="92"/>
        <v>187.97571090047393</v>
      </c>
      <c r="D80" s="11">
        <v>2538424</v>
      </c>
      <c r="E80" s="11">
        <v>2463304</v>
      </c>
      <c r="F80" s="8"/>
      <c r="G80" s="20">
        <v>10547</v>
      </c>
      <c r="H80" s="10">
        <f t="shared" si="93"/>
        <v>224.65686925191997</v>
      </c>
      <c r="I80" s="11">
        <v>2369456</v>
      </c>
      <c r="J80" s="11">
        <v>2301741</v>
      </c>
      <c r="K80" s="23">
        <f t="shared" si="87"/>
        <v>-21.897215639810426</v>
      </c>
      <c r="L80" s="23">
        <f t="shared" si="88"/>
        <v>19.51377557011466</v>
      </c>
      <c r="M80" s="23">
        <f t="shared" si="89"/>
        <v>-6.656413585752418</v>
      </c>
      <c r="N80" s="23">
        <f t="shared" si="90"/>
        <v>-6.558792581021265</v>
      </c>
      <c r="O80" s="23"/>
      <c r="P80" s="20">
        <v>10152</v>
      </c>
      <c r="Q80" s="10">
        <f t="shared" si="94"/>
        <v>224.26053979511425</v>
      </c>
      <c r="R80" s="11">
        <v>2276693</v>
      </c>
      <c r="S80" s="11">
        <v>2204585</v>
      </c>
      <c r="T80" s="23">
        <f t="shared" si="95"/>
        <v>-3.7451407983312777</v>
      </c>
      <c r="U80" s="23">
        <f t="shared" si="95"/>
        <v>-0.17641546333547353</v>
      </c>
      <c r="V80" s="23">
        <f t="shared" si="95"/>
        <v>-3.9149492541748003</v>
      </c>
      <c r="W80" s="23">
        <f t="shared" si="95"/>
        <v>-4.220978815600887</v>
      </c>
      <c r="X80" s="23"/>
      <c r="Y80" s="20">
        <v>10273</v>
      </c>
      <c r="Z80" s="10">
        <f t="shared" si="25"/>
        <v>231.17414581913755</v>
      </c>
      <c r="AA80" s="20">
        <v>2374852</v>
      </c>
      <c r="AB80" s="20">
        <v>2282745</v>
      </c>
      <c r="AC80" s="23">
        <f t="shared" si="91"/>
        <v>1.1918833727344378</v>
      </c>
      <c r="AD80" s="23">
        <f t="shared" si="91"/>
        <v>3.082845528838746</v>
      </c>
      <c r="AE80" s="23">
        <f t="shared" si="91"/>
        <v>4.311472824838489</v>
      </c>
      <c r="AF80" s="23">
        <f t="shared" si="91"/>
        <v>3.545338465062585</v>
      </c>
      <c r="AG80" s="23"/>
      <c r="AH80" s="20">
        <v>10327</v>
      </c>
      <c r="AI80" s="10">
        <f t="shared" si="43"/>
        <v>228.24963687421322</v>
      </c>
      <c r="AJ80" s="20">
        <v>2357134</v>
      </c>
      <c r="AK80" s="20">
        <v>2290996</v>
      </c>
      <c r="AL80" s="23">
        <f t="shared" si="55"/>
        <v>0.5256497615107634</v>
      </c>
      <c r="AM80" s="23">
        <f t="shared" si="55"/>
        <v>-1.2650674817297158</v>
      </c>
      <c r="AN80" s="23">
        <f t="shared" si="55"/>
        <v>-0.746067544419617</v>
      </c>
      <c r="AO80" s="23">
        <f t="shared" si="55"/>
        <v>0.36145079717620376</v>
      </c>
      <c r="AP80" s="23"/>
      <c r="AQ80" s="20">
        <v>9036</v>
      </c>
      <c r="AR80" s="10">
        <f>AS80/AQ80</f>
        <v>221.30090748118636</v>
      </c>
      <c r="AS80" s="20">
        <v>1999675</v>
      </c>
      <c r="AT80" s="20">
        <v>1913512</v>
      </c>
      <c r="AU80" s="23">
        <f t="shared" si="74"/>
        <v>-12.501210419289237</v>
      </c>
      <c r="AV80" s="23">
        <f t="shared" si="75"/>
        <v>-3.044355070258561</v>
      </c>
      <c r="AW80" s="23">
        <f t="shared" si="76"/>
        <v>-15.164984256304479</v>
      </c>
      <c r="AX80" s="23">
        <f t="shared" si="77"/>
        <v>-18.820397991798515</v>
      </c>
      <c r="AY80" s="23"/>
      <c r="AZ80" s="20">
        <v>9538</v>
      </c>
      <c r="BA80" s="10">
        <f>BB80/AZ80</f>
        <v>219.69983224994758</v>
      </c>
      <c r="BB80" s="20">
        <v>2095497</v>
      </c>
      <c r="BC80" s="20">
        <v>2021878</v>
      </c>
      <c r="BD80" s="23">
        <f t="shared" si="59"/>
        <v>5.555555555555557</v>
      </c>
      <c r="BE80" s="23">
        <f t="shared" si="60"/>
        <v>-0.723483355518951</v>
      </c>
      <c r="BF80" s="23">
        <f t="shared" si="61"/>
        <v>4.791878680285549</v>
      </c>
      <c r="BG80" s="23">
        <f t="shared" si="48"/>
        <v>1.1103304286946667</v>
      </c>
      <c r="BH80" s="23"/>
      <c r="BI80" s="20">
        <v>9201</v>
      </c>
      <c r="BJ80" s="10">
        <f>BK80/BI80</f>
        <v>214.2497554613629</v>
      </c>
      <c r="BK80" s="20">
        <v>1971312</v>
      </c>
      <c r="BL80" s="20">
        <v>1906919</v>
      </c>
      <c r="BM80" s="23">
        <f t="shared" si="62"/>
        <v>-3.5332354791360814</v>
      </c>
      <c r="BN80" s="23">
        <f t="shared" si="63"/>
        <v>-2.480692284910006</v>
      </c>
      <c r="BO80" s="23">
        <f t="shared" si="64"/>
        <v>-5.926279064107462</v>
      </c>
      <c r="BP80" s="23">
        <f t="shared" si="50"/>
        <v>-8.999201621381474</v>
      </c>
      <c r="BQ80" s="23"/>
      <c r="BR80" s="20">
        <v>9078</v>
      </c>
      <c r="BS80" s="10">
        <f>BT80/BR80</f>
        <v>221.71282220753469</v>
      </c>
      <c r="BT80" s="20">
        <v>2012709</v>
      </c>
      <c r="BU80" s="20">
        <v>1862717</v>
      </c>
      <c r="BV80" s="23">
        <f t="shared" si="65"/>
        <v>-1.3368112161721513</v>
      </c>
      <c r="BW80" s="23">
        <f t="shared" si="66"/>
        <v>3.483349014845274</v>
      </c>
      <c r="BX80" s="23">
        <f t="shared" si="67"/>
        <v>2.0999719983442446</v>
      </c>
      <c r="BY80" s="23">
        <f t="shared" si="52"/>
        <v>-5.508767764818558</v>
      </c>
      <c r="BZ80" s="20">
        <v>8732</v>
      </c>
      <c r="CA80" s="10">
        <f>CB80/BZ80</f>
        <v>221.0680256527714</v>
      </c>
      <c r="CB80" s="20">
        <v>1930366</v>
      </c>
      <c r="CC80" s="20">
        <v>1850698</v>
      </c>
      <c r="CD80" s="48"/>
      <c r="CE80" s="23">
        <f t="shared" si="69"/>
        <v>-0.29082510805790207</v>
      </c>
      <c r="CF80" s="23">
        <f t="shared" si="70"/>
        <v>-4.091152769724786</v>
      </c>
      <c r="CG80" s="23">
        <f t="shared" si="71"/>
        <v>-0.6452402592557007</v>
      </c>
    </row>
    <row r="81" spans="1:85" ht="12">
      <c r="A81" s="1" t="s">
        <v>77</v>
      </c>
      <c r="B81" s="22">
        <v>1715.93</v>
      </c>
      <c r="C81" s="10">
        <f t="shared" si="92"/>
        <v>643.2750753235854</v>
      </c>
      <c r="D81" s="11">
        <v>1103815</v>
      </c>
      <c r="E81" s="11">
        <v>1076190</v>
      </c>
      <c r="F81" s="8"/>
      <c r="G81" s="22">
        <v>1356.04</v>
      </c>
      <c r="H81" s="10">
        <f t="shared" si="93"/>
        <v>741.1927376773547</v>
      </c>
      <c r="I81" s="11">
        <v>1005087</v>
      </c>
      <c r="J81" s="11">
        <v>985177</v>
      </c>
      <c r="K81" s="23">
        <f t="shared" si="87"/>
        <v>-20.97346628358966</v>
      </c>
      <c r="L81" s="23">
        <f t="shared" si="88"/>
        <v>15.221740451316862</v>
      </c>
      <c r="M81" s="23">
        <f t="shared" si="89"/>
        <v>-8.944252433605271</v>
      </c>
      <c r="N81" s="23">
        <f t="shared" si="90"/>
        <v>-8.45696391901059</v>
      </c>
      <c r="O81" s="23"/>
      <c r="P81" s="22">
        <v>1536.65</v>
      </c>
      <c r="Q81" s="10">
        <f t="shared" si="94"/>
        <v>688.6109393811213</v>
      </c>
      <c r="R81" s="11">
        <v>1058154</v>
      </c>
      <c r="S81" s="11">
        <v>1034105</v>
      </c>
      <c r="T81" s="23">
        <f t="shared" si="95"/>
        <v>13.318928645172718</v>
      </c>
      <c r="U81" s="23">
        <f t="shared" si="95"/>
        <v>-7.094213910002253</v>
      </c>
      <c r="V81" s="23">
        <f t="shared" si="95"/>
        <v>5.279841446561349</v>
      </c>
      <c r="W81" s="23">
        <f t="shared" si="95"/>
        <v>4.966417202188026</v>
      </c>
      <c r="X81" s="23"/>
      <c r="Y81" s="22">
        <v>1489.71</v>
      </c>
      <c r="Z81" s="10">
        <f t="shared" si="25"/>
        <v>451.8141114713602</v>
      </c>
      <c r="AA81" s="20">
        <v>673072</v>
      </c>
      <c r="AB81" s="20">
        <v>653730</v>
      </c>
      <c r="AC81" s="23">
        <f t="shared" si="91"/>
        <v>-3.054696905606363</v>
      </c>
      <c r="AD81" s="23">
        <f t="shared" si="91"/>
        <v>-34.387607626823154</v>
      </c>
      <c r="AE81" s="23">
        <f t="shared" si="91"/>
        <v>-36.391867346340895</v>
      </c>
      <c r="AF81" s="23">
        <f t="shared" si="91"/>
        <v>-36.78301526440739</v>
      </c>
      <c r="AG81" s="23"/>
      <c r="AH81" s="22">
        <v>2554.65</v>
      </c>
      <c r="AI81" s="10">
        <f t="shared" si="43"/>
        <v>316.9702307556808</v>
      </c>
      <c r="AJ81" s="20">
        <v>809748</v>
      </c>
      <c r="AK81" s="20">
        <v>786736</v>
      </c>
      <c r="AL81" s="23">
        <f t="shared" si="55"/>
        <v>71.48639668123326</v>
      </c>
      <c r="AM81" s="23">
        <f t="shared" si="55"/>
        <v>-29.84499095801857</v>
      </c>
      <c r="AN81" s="23">
        <f t="shared" si="55"/>
        <v>20.306297097487345</v>
      </c>
      <c r="AO81" s="23">
        <f t="shared" si="55"/>
        <v>20.345708472916954</v>
      </c>
      <c r="AP81" s="23"/>
      <c r="AQ81" s="22">
        <v>2322.15</v>
      </c>
      <c r="AR81" s="10">
        <f>AS81/AQ81</f>
        <v>439.7209482591564</v>
      </c>
      <c r="AS81" s="20">
        <v>1021098</v>
      </c>
      <c r="AT81" s="20">
        <v>1003100</v>
      </c>
      <c r="AU81" s="23">
        <f t="shared" si="74"/>
        <v>-9.1010510246022</v>
      </c>
      <c r="AV81" s="23">
        <f t="shared" si="75"/>
        <v>38.72626057369129</v>
      </c>
      <c r="AW81" s="23">
        <f t="shared" si="76"/>
        <v>26.100712814357053</v>
      </c>
      <c r="AX81" s="23">
        <f t="shared" si="77"/>
        <v>23.87804600937575</v>
      </c>
      <c r="AY81" s="23"/>
      <c r="AZ81" s="22">
        <v>2597.19</v>
      </c>
      <c r="BA81" s="10">
        <f>BB81/AZ81</f>
        <v>409.87952363900985</v>
      </c>
      <c r="BB81" s="20">
        <v>1064535</v>
      </c>
      <c r="BC81" s="20">
        <v>1049342</v>
      </c>
      <c r="BD81" s="23">
        <f t="shared" si="59"/>
        <v>11.844196111362308</v>
      </c>
      <c r="BE81" s="23">
        <f t="shared" si="60"/>
        <v>-6.786445980863078</v>
      </c>
      <c r="BF81" s="23">
        <f t="shared" si="61"/>
        <v>4.253950159534142</v>
      </c>
      <c r="BG81" s="23">
        <f t="shared" si="48"/>
        <v>2.7660420449359435</v>
      </c>
      <c r="BH81" s="23"/>
      <c r="BI81" s="22">
        <v>2353.91</v>
      </c>
      <c r="BJ81" s="10">
        <f>BK81/BI81</f>
        <v>410.8602283009971</v>
      </c>
      <c r="BK81" s="20">
        <v>967128</v>
      </c>
      <c r="BL81" s="20">
        <v>945112</v>
      </c>
      <c r="BM81" s="23">
        <f t="shared" si="62"/>
        <v>-9.367046692771808</v>
      </c>
      <c r="BN81" s="23">
        <f t="shared" si="63"/>
        <v>0.23926656625350518</v>
      </c>
      <c r="BO81" s="23">
        <f t="shared" si="64"/>
        <v>-9.150192337499476</v>
      </c>
      <c r="BP81" s="23">
        <f t="shared" si="50"/>
        <v>-11.218325372110826</v>
      </c>
      <c r="BQ81" s="23"/>
      <c r="BR81" s="22">
        <v>2443.45</v>
      </c>
      <c r="BS81" s="10">
        <f>BT81/BR81</f>
        <v>405.7222370009618</v>
      </c>
      <c r="BT81" s="20">
        <v>991362</v>
      </c>
      <c r="BU81" s="20">
        <v>966245</v>
      </c>
      <c r="BV81" s="23">
        <f t="shared" si="65"/>
        <v>3.8038837508655803</v>
      </c>
      <c r="BW81" s="23">
        <f t="shared" si="66"/>
        <v>-1.2505448194102513</v>
      </c>
      <c r="BX81" s="23">
        <f t="shared" si="67"/>
        <v>2.5057696602724775</v>
      </c>
      <c r="BY81" s="23">
        <f t="shared" si="52"/>
        <v>-0.09130125484941232</v>
      </c>
      <c r="BZ81" s="22"/>
      <c r="CA81" s="10" t="e">
        <f>CB81/BZ81</f>
        <v>#DIV/0!</v>
      </c>
      <c r="CB81" s="20"/>
      <c r="CC81" s="20"/>
      <c r="CD81" s="23">
        <f t="shared" si="68"/>
        <v>-100</v>
      </c>
      <c r="CE81" s="23" t="e">
        <f t="shared" si="69"/>
        <v>#DIV/0!</v>
      </c>
      <c r="CF81" s="23">
        <f t="shared" si="70"/>
        <v>-100</v>
      </c>
      <c r="CG81" s="23">
        <f t="shared" si="71"/>
        <v>-100</v>
      </c>
    </row>
    <row r="82" spans="1:85" ht="12">
      <c r="A82" s="1" t="s">
        <v>78</v>
      </c>
      <c r="B82" s="19">
        <f>B80+B81</f>
        <v>15219.93</v>
      </c>
      <c r="C82" s="10">
        <f t="shared" si="92"/>
        <v>239.30721100556966</v>
      </c>
      <c r="D82" s="9">
        <f>D81+D80</f>
        <v>3642239</v>
      </c>
      <c r="E82" s="9">
        <f>E81+E80</f>
        <v>3539494</v>
      </c>
      <c r="F82" s="8"/>
      <c r="G82" s="19">
        <f>G80+G81</f>
        <v>11903.04</v>
      </c>
      <c r="H82" s="10">
        <f t="shared" si="93"/>
        <v>283.5026178186413</v>
      </c>
      <c r="I82" s="9">
        <f>I81+I80</f>
        <v>3374543</v>
      </c>
      <c r="J82" s="9">
        <f>J81+J80</f>
        <v>3286918</v>
      </c>
      <c r="K82" s="23">
        <f t="shared" si="87"/>
        <v>-21.793070007549318</v>
      </c>
      <c r="L82" s="23">
        <f t="shared" si="88"/>
        <v>18.46806313414561</v>
      </c>
      <c r="M82" s="23">
        <f t="shared" si="89"/>
        <v>-7.349764801266474</v>
      </c>
      <c r="N82" s="23">
        <f t="shared" si="90"/>
        <v>-7.13593524950177</v>
      </c>
      <c r="O82" s="23"/>
      <c r="P82" s="19">
        <f>P80+P81</f>
        <v>11688.65</v>
      </c>
      <c r="Q82" s="10">
        <f t="shared" si="94"/>
        <v>285.3064297416725</v>
      </c>
      <c r="R82" s="9">
        <f>R81+R80</f>
        <v>3334847</v>
      </c>
      <c r="S82" s="9">
        <f>S81+S80</f>
        <v>3238690</v>
      </c>
      <c r="T82" s="23">
        <f t="shared" si="95"/>
        <v>-1.8011365163857391</v>
      </c>
      <c r="U82" s="23">
        <f t="shared" si="95"/>
        <v>0.6362593534092582</v>
      </c>
      <c r="V82" s="23">
        <f t="shared" si="95"/>
        <v>-1.1763370625296545</v>
      </c>
      <c r="W82" s="23">
        <f t="shared" si="95"/>
        <v>-1.467271164050942</v>
      </c>
      <c r="X82" s="23"/>
      <c r="Y82" s="36">
        <f>Y80+Y81</f>
        <v>11762.71</v>
      </c>
      <c r="Z82" s="10">
        <f t="shared" si="25"/>
        <v>259.1174992837535</v>
      </c>
      <c r="AA82" s="19">
        <f>AA80+AA81</f>
        <v>3047924</v>
      </c>
      <c r="AB82" s="19">
        <f>AB80+AB81</f>
        <v>2936475</v>
      </c>
      <c r="AC82" s="23">
        <f t="shared" si="91"/>
        <v>0.6336061050677415</v>
      </c>
      <c r="AD82" s="23">
        <f t="shared" si="91"/>
        <v>-9.179228972032448</v>
      </c>
      <c r="AE82" s="23">
        <f t="shared" si="91"/>
        <v>-8.603783022129647</v>
      </c>
      <c r="AF82" s="23">
        <f t="shared" si="91"/>
        <v>-9.331396336172958</v>
      </c>
      <c r="AG82" s="23"/>
      <c r="AH82" s="19">
        <f>AH80+AH81</f>
        <v>12881.65</v>
      </c>
      <c r="AI82" s="10">
        <f t="shared" si="43"/>
        <v>245.84443763027252</v>
      </c>
      <c r="AJ82" s="19">
        <f>AJ80+AJ81</f>
        <v>3166882</v>
      </c>
      <c r="AK82" s="19">
        <f>AK80+AK81</f>
        <v>3077732</v>
      </c>
      <c r="AL82" s="23">
        <f t="shared" si="55"/>
        <v>9.512603813236922</v>
      </c>
      <c r="AM82" s="23">
        <f t="shared" si="55"/>
        <v>-5.122410369878551</v>
      </c>
      <c r="AN82" s="23">
        <f t="shared" si="55"/>
        <v>3.9029188391836556</v>
      </c>
      <c r="AO82" s="23">
        <f t="shared" si="55"/>
        <v>4.810427468308092</v>
      </c>
      <c r="AP82" s="23"/>
      <c r="AQ82" s="19">
        <f>AQ80+AQ81</f>
        <v>11358.15</v>
      </c>
      <c r="AR82" s="6" t="s">
        <v>1</v>
      </c>
      <c r="AS82" s="19">
        <f>AS80+AS81</f>
        <v>3020773</v>
      </c>
      <c r="AT82" s="19">
        <f>AT80+AT81</f>
        <v>2916612</v>
      </c>
      <c r="AU82" s="23">
        <f t="shared" si="74"/>
        <v>-11.826901056929813</v>
      </c>
      <c r="AV82" s="23" t="e">
        <f t="shared" si="75"/>
        <v>#VALUE!</v>
      </c>
      <c r="AW82" s="23">
        <f t="shared" si="76"/>
        <v>-4.613654692533544</v>
      </c>
      <c r="AX82" s="23">
        <f t="shared" si="77"/>
        <v>-7.9027257725421975</v>
      </c>
      <c r="AY82" s="23"/>
      <c r="AZ82" s="19">
        <f>AZ80+AZ81</f>
        <v>12135.19</v>
      </c>
      <c r="BA82" s="6" t="s">
        <v>1</v>
      </c>
      <c r="BB82" s="19">
        <f>BB80+BB81</f>
        <v>3160032</v>
      </c>
      <c r="BC82" s="19">
        <f>BC80+BC81</f>
        <v>3071220</v>
      </c>
      <c r="BD82" s="23">
        <f t="shared" si="59"/>
        <v>6.841254957893668</v>
      </c>
      <c r="BE82" s="23" t="e">
        <f t="shared" si="60"/>
        <v>#VALUE!</v>
      </c>
      <c r="BF82" s="23">
        <f t="shared" si="61"/>
        <v>4.610045177178165</v>
      </c>
      <c r="BG82" s="23">
        <f t="shared" si="48"/>
        <v>1.6700030091635512</v>
      </c>
      <c r="BH82" s="23"/>
      <c r="BI82" s="19">
        <f>BI80+BI81</f>
        <v>11554.91</v>
      </c>
      <c r="BJ82" s="6" t="s">
        <v>1</v>
      </c>
      <c r="BK82" s="19">
        <f>BK80+BK81</f>
        <v>2938440</v>
      </c>
      <c r="BL82" s="19">
        <f>BL80+BL81</f>
        <v>2852031</v>
      </c>
      <c r="BM82" s="23">
        <f t="shared" si="62"/>
        <v>-4.7817957526829105</v>
      </c>
      <c r="BN82" s="23" t="e">
        <f t="shared" si="63"/>
        <v>#VALUE!</v>
      </c>
      <c r="BO82" s="23">
        <f t="shared" si="64"/>
        <v>-7.012334052313392</v>
      </c>
      <c r="BP82" s="23">
        <f t="shared" si="50"/>
        <v>-9.74676838715557</v>
      </c>
      <c r="BQ82" s="23"/>
      <c r="BR82" s="19">
        <f>BR80+BR81</f>
        <v>11521.45</v>
      </c>
      <c r="BS82" s="6" t="s">
        <v>1</v>
      </c>
      <c r="BT82" s="19">
        <f>BT80+BT81</f>
        <v>3004071</v>
      </c>
      <c r="BU82" s="19">
        <f>BU80+BU81</f>
        <v>2828962</v>
      </c>
      <c r="BV82" s="23">
        <f t="shared" si="65"/>
        <v>-0.28957386946328256</v>
      </c>
      <c r="BW82" s="23" t="e">
        <f t="shared" si="66"/>
        <v>#VALUE!</v>
      </c>
      <c r="BX82" s="23">
        <f t="shared" si="67"/>
        <v>2.2335320782456023</v>
      </c>
      <c r="BY82" s="23">
        <f t="shared" si="52"/>
        <v>-3.7257184084071753</v>
      </c>
      <c r="BZ82" s="19">
        <f>BZ80+BZ81</f>
        <v>8732</v>
      </c>
      <c r="CA82" s="6" t="s">
        <v>1</v>
      </c>
      <c r="CB82" s="19">
        <f>CB80+CB81</f>
        <v>1930366</v>
      </c>
      <c r="CC82" s="19">
        <f>CC80+CC81</f>
        <v>1850698</v>
      </c>
      <c r="CD82" s="23">
        <f t="shared" si="68"/>
        <v>-24.210928311974627</v>
      </c>
      <c r="CE82" s="23" t="e">
        <f t="shared" si="69"/>
        <v>#VALUE!</v>
      </c>
      <c r="CF82" s="23">
        <f t="shared" si="70"/>
        <v>-35.741665226953685</v>
      </c>
      <c r="CG82" s="23">
        <f t="shared" si="71"/>
        <v>-34.580316031109646</v>
      </c>
    </row>
    <row r="83" spans="1:85" ht="12">
      <c r="A83" s="1" t="s">
        <v>79</v>
      </c>
      <c r="B83" s="20">
        <v>11786</v>
      </c>
      <c r="C83" s="10">
        <f t="shared" si="92"/>
        <v>69.14814186322756</v>
      </c>
      <c r="D83" s="11">
        <v>814980</v>
      </c>
      <c r="E83" s="11">
        <v>771684</v>
      </c>
      <c r="F83" s="8"/>
      <c r="G83" s="20">
        <v>12784</v>
      </c>
      <c r="H83" s="10">
        <f t="shared" si="93"/>
        <v>65.07000938673342</v>
      </c>
      <c r="I83" s="11">
        <v>831855</v>
      </c>
      <c r="J83" s="11">
        <v>816263</v>
      </c>
      <c r="K83" s="23">
        <f t="shared" si="87"/>
        <v>8.46767351094519</v>
      </c>
      <c r="L83" s="23">
        <f t="shared" si="88"/>
        <v>-5.897674712012559</v>
      </c>
      <c r="M83" s="23">
        <f t="shared" si="89"/>
        <v>2.0706029595818336</v>
      </c>
      <c r="N83" s="23">
        <f t="shared" si="90"/>
        <v>5.776846481202156</v>
      </c>
      <c r="O83" s="23"/>
      <c r="P83" s="20">
        <v>15237</v>
      </c>
      <c r="Q83" s="10">
        <f t="shared" si="94"/>
        <v>59.88199776858962</v>
      </c>
      <c r="R83" s="11">
        <v>912422</v>
      </c>
      <c r="S83" s="11">
        <v>893289</v>
      </c>
      <c r="T83" s="23">
        <f t="shared" si="95"/>
        <v>19.188047559449316</v>
      </c>
      <c r="U83" s="23">
        <f t="shared" si="95"/>
        <v>-7.97296891000839</v>
      </c>
      <c r="V83" s="23">
        <f t="shared" si="95"/>
        <v>9.685221583088392</v>
      </c>
      <c r="W83" s="23">
        <f t="shared" si="95"/>
        <v>9.43641938933898</v>
      </c>
      <c r="X83" s="23"/>
      <c r="Y83" s="20">
        <v>8627</v>
      </c>
      <c r="Z83" s="10">
        <f t="shared" si="25"/>
        <v>61.638344731656424</v>
      </c>
      <c r="AA83" s="20">
        <v>531754</v>
      </c>
      <c r="AB83" s="20">
        <v>514975</v>
      </c>
      <c r="AC83" s="23">
        <f t="shared" si="91"/>
        <v>-43.381243026842554</v>
      </c>
      <c r="AD83" s="23">
        <f t="shared" si="91"/>
        <v>2.933013307027764</v>
      </c>
      <c r="AE83" s="23">
        <f t="shared" si="91"/>
        <v>-41.72060735054613</v>
      </c>
      <c r="AF83" s="23">
        <f t="shared" si="91"/>
        <v>-42.35068382124934</v>
      </c>
      <c r="AG83" s="23"/>
      <c r="AH83" s="20">
        <v>23956</v>
      </c>
      <c r="AI83" s="10">
        <f t="shared" si="43"/>
        <v>42.02951243947236</v>
      </c>
      <c r="AJ83" s="20">
        <v>1006859</v>
      </c>
      <c r="AK83" s="20">
        <v>988694</v>
      </c>
      <c r="AL83" s="23">
        <f t="shared" si="55"/>
        <v>177.68633360380204</v>
      </c>
      <c r="AM83" s="23">
        <f t="shared" si="55"/>
        <v>-31.812717193414983</v>
      </c>
      <c r="AN83" s="23">
        <f t="shared" si="55"/>
        <v>89.34676560966162</v>
      </c>
      <c r="AO83" s="23">
        <f t="shared" si="55"/>
        <v>91.98873731734551</v>
      </c>
      <c r="AP83" s="23"/>
      <c r="AQ83" s="20">
        <v>15218</v>
      </c>
      <c r="AR83" s="10">
        <f>AS83/AQ83</f>
        <v>53.96504139834406</v>
      </c>
      <c r="AS83" s="20">
        <v>821240</v>
      </c>
      <c r="AT83" s="20">
        <v>802624</v>
      </c>
      <c r="AU83" s="23">
        <f t="shared" si="74"/>
        <v>-36.47520454165971</v>
      </c>
      <c r="AV83" s="23">
        <f t="shared" si="75"/>
        <v>28.397971487440685</v>
      </c>
      <c r="AW83" s="23">
        <f t="shared" si="76"/>
        <v>-18.43545123994521</v>
      </c>
      <c r="AX83" s="23">
        <f t="shared" si="77"/>
        <v>-20.284369509534102</v>
      </c>
      <c r="AY83" s="23"/>
      <c r="AZ83" s="20">
        <v>14157</v>
      </c>
      <c r="BA83" s="10">
        <f>BB83/AZ83</f>
        <v>51.330295966659605</v>
      </c>
      <c r="BB83" s="20">
        <v>726683</v>
      </c>
      <c r="BC83" s="20">
        <v>709301</v>
      </c>
      <c r="BD83" s="23">
        <f t="shared" si="59"/>
        <v>-6.9720068340123476</v>
      </c>
      <c r="BE83" s="23">
        <f t="shared" si="60"/>
        <v>-4.882318929834653</v>
      </c>
      <c r="BF83" s="23">
        <f t="shared" si="61"/>
        <v>-11.513930154400668</v>
      </c>
      <c r="BG83" s="23">
        <f t="shared" si="48"/>
        <v>-13.63048560713068</v>
      </c>
      <c r="BH83" s="23"/>
      <c r="BI83" s="20">
        <v>15792</v>
      </c>
      <c r="BJ83" s="10">
        <f>BK83/BI83</f>
        <v>51.12556990881459</v>
      </c>
      <c r="BK83" s="20">
        <v>807375</v>
      </c>
      <c r="BL83" s="20">
        <v>792001</v>
      </c>
      <c r="BM83" s="23">
        <f t="shared" si="62"/>
        <v>11.549057003602456</v>
      </c>
      <c r="BN83" s="23">
        <f t="shared" si="63"/>
        <v>-0.39884059499286195</v>
      </c>
      <c r="BO83" s="23">
        <f t="shared" si="64"/>
        <v>11.104154080940376</v>
      </c>
      <c r="BP83" s="23">
        <f t="shared" si="50"/>
        <v>8.988513560933725</v>
      </c>
      <c r="BQ83" s="23"/>
      <c r="BR83" s="20">
        <v>14884</v>
      </c>
      <c r="BS83" s="10">
        <f>BT83/BR83</f>
        <v>50.191413598495025</v>
      </c>
      <c r="BT83" s="20">
        <v>747049</v>
      </c>
      <c r="BU83" s="20">
        <v>733334</v>
      </c>
      <c r="BV83" s="23">
        <f t="shared" si="65"/>
        <v>-5.749746707193509</v>
      </c>
      <c r="BW83" s="23">
        <f t="shared" si="66"/>
        <v>-1.8271802387448872</v>
      </c>
      <c r="BX83" s="23">
        <f t="shared" si="67"/>
        <v>-7.4718687103266745</v>
      </c>
      <c r="BY83" s="23">
        <f t="shared" si="52"/>
        <v>-9.170583681684477</v>
      </c>
      <c r="BZ83" s="20">
        <v>16202</v>
      </c>
      <c r="CA83" s="10">
        <f>CB83/BZ83</f>
        <v>61.04900629551907</v>
      </c>
      <c r="CB83" s="20">
        <v>989116</v>
      </c>
      <c r="CC83" s="20">
        <v>975386</v>
      </c>
      <c r="CD83" s="23">
        <f t="shared" si="68"/>
        <v>8.85514646600376</v>
      </c>
      <c r="CE83" s="23">
        <f t="shared" si="69"/>
        <v>21.63237079529</v>
      </c>
      <c r="CF83" s="23">
        <f t="shared" si="70"/>
        <v>32.4030953792857</v>
      </c>
      <c r="CG83" s="23">
        <f t="shared" si="71"/>
        <v>33.007060902671896</v>
      </c>
    </row>
    <row r="84" spans="1:85" ht="12">
      <c r="A84" s="1" t="s">
        <v>80</v>
      </c>
      <c r="B84" s="20">
        <v>18.5</v>
      </c>
      <c r="C84" s="10">
        <f t="shared" si="92"/>
        <v>154.75675675675674</v>
      </c>
      <c r="D84" s="11">
        <v>2863</v>
      </c>
      <c r="E84" s="11">
        <v>2803</v>
      </c>
      <c r="F84" s="8"/>
      <c r="G84" s="22">
        <v>58.94</v>
      </c>
      <c r="H84" s="10">
        <f t="shared" si="93"/>
        <v>73.14217848659653</v>
      </c>
      <c r="I84" s="11">
        <v>4311</v>
      </c>
      <c r="J84" s="11">
        <v>4210</v>
      </c>
      <c r="K84" s="23">
        <f t="shared" si="87"/>
        <v>218.59459459459458</v>
      </c>
      <c r="L84" s="23">
        <f t="shared" si="88"/>
        <v>-52.73732790771792</v>
      </c>
      <c r="M84" s="23">
        <f t="shared" si="89"/>
        <v>50.57631854697868</v>
      </c>
      <c r="N84" s="23">
        <f t="shared" si="90"/>
        <v>50.19621833749554</v>
      </c>
      <c r="O84" s="23"/>
      <c r="P84" s="22">
        <v>58.32</v>
      </c>
      <c r="Q84" s="10">
        <f t="shared" si="94"/>
        <v>82.3045267489712</v>
      </c>
      <c r="R84" s="11">
        <v>4800</v>
      </c>
      <c r="S84" s="11">
        <v>4513</v>
      </c>
      <c r="T84" s="23">
        <f t="shared" si="95"/>
        <v>-1.051917203936199</v>
      </c>
      <c r="U84" s="23">
        <f t="shared" si="95"/>
        <v>12.526764244592044</v>
      </c>
      <c r="V84" s="23">
        <f t="shared" si="95"/>
        <v>11.34307585247042</v>
      </c>
      <c r="W84" s="23">
        <f t="shared" si="95"/>
        <v>7.197149643705458</v>
      </c>
      <c r="X84" s="23"/>
      <c r="Y84" s="22">
        <v>63.84</v>
      </c>
      <c r="Z84" s="10">
        <f t="shared" si="25"/>
        <v>94.29824561403508</v>
      </c>
      <c r="AA84" s="20">
        <v>6020</v>
      </c>
      <c r="AB84" s="20">
        <v>5943</v>
      </c>
      <c r="AC84" s="23">
        <f t="shared" si="91"/>
        <v>9.465020576131693</v>
      </c>
      <c r="AD84" s="23">
        <f t="shared" si="91"/>
        <v>14.572368421052616</v>
      </c>
      <c r="AE84" s="23">
        <f t="shared" si="91"/>
        <v>25.41666666666667</v>
      </c>
      <c r="AF84" s="23">
        <f t="shared" si="91"/>
        <v>31.686239751828055</v>
      </c>
      <c r="AG84" s="23"/>
      <c r="AH84" s="22">
        <v>69.78</v>
      </c>
      <c r="AI84" s="10">
        <f t="shared" si="43"/>
        <v>97.83605617655489</v>
      </c>
      <c r="AJ84" s="20">
        <v>6827</v>
      </c>
      <c r="AK84" s="20">
        <v>6666</v>
      </c>
      <c r="AL84" s="23">
        <f t="shared" si="55"/>
        <v>9.304511278195477</v>
      </c>
      <c r="AM84" s="23">
        <f t="shared" si="55"/>
        <v>3.7517246895558856</v>
      </c>
      <c r="AN84" s="23">
        <f t="shared" si="55"/>
        <v>13.405315614617933</v>
      </c>
      <c r="AO84" s="23">
        <f t="shared" si="55"/>
        <v>12.165572942958107</v>
      </c>
      <c r="AP84" s="23"/>
      <c r="AQ84" s="22">
        <v>64.78</v>
      </c>
      <c r="AR84" s="10">
        <f>AS84/AQ84</f>
        <v>90.3982710713183</v>
      </c>
      <c r="AS84" s="20">
        <v>5856</v>
      </c>
      <c r="AT84" s="20">
        <v>5713</v>
      </c>
      <c r="AU84" s="23">
        <f t="shared" si="74"/>
        <v>-7.165376898824874</v>
      </c>
      <c r="AV84" s="23">
        <f t="shared" si="75"/>
        <v>-7.602294487233181</v>
      </c>
      <c r="AW84" s="23">
        <f t="shared" si="76"/>
        <v>-14.222938333089203</v>
      </c>
      <c r="AX84" s="23">
        <f t="shared" si="77"/>
        <v>-16.317562619012747</v>
      </c>
      <c r="AY84" s="23"/>
      <c r="AZ84" s="22">
        <v>33.34</v>
      </c>
      <c r="BA84" s="10">
        <f>BB84/AZ84</f>
        <v>280.3239352129574</v>
      </c>
      <c r="BB84" s="20">
        <v>9346</v>
      </c>
      <c r="BC84" s="20">
        <v>9181</v>
      </c>
      <c r="BD84" s="23">
        <f t="shared" si="59"/>
        <v>-48.533497993207774</v>
      </c>
      <c r="BE84" s="23">
        <f t="shared" si="60"/>
        <v>210.09877942444297</v>
      </c>
      <c r="BF84" s="23">
        <f t="shared" si="61"/>
        <v>59.596994535519116</v>
      </c>
      <c r="BG84" s="23">
        <f t="shared" si="48"/>
        <v>56.77937158469945</v>
      </c>
      <c r="BH84" s="23"/>
      <c r="BI84" s="22">
        <v>29.29</v>
      </c>
      <c r="BJ84" s="10">
        <f>BK84/BI84</f>
        <v>273.43803345851825</v>
      </c>
      <c r="BK84" s="20">
        <v>8009</v>
      </c>
      <c r="BL84" s="20">
        <v>7766</v>
      </c>
      <c r="BM84" s="23">
        <f t="shared" si="62"/>
        <v>-12.147570485902833</v>
      </c>
      <c r="BN84" s="23">
        <f t="shared" si="63"/>
        <v>-2.4564087790819684</v>
      </c>
      <c r="BO84" s="23">
        <f t="shared" si="64"/>
        <v>-14.30558527712391</v>
      </c>
      <c r="BP84" s="23">
        <f t="shared" si="50"/>
        <v>-16.905628076182325</v>
      </c>
      <c r="BQ84" s="23"/>
      <c r="BR84" s="22">
        <v>55.91</v>
      </c>
      <c r="BS84" s="10">
        <f>BT84/BR84</f>
        <v>254.7844750491862</v>
      </c>
      <c r="BT84" s="20">
        <v>14245</v>
      </c>
      <c r="BU84" s="20">
        <v>13687</v>
      </c>
      <c r="BV84" s="23">
        <f t="shared" si="65"/>
        <v>90.8842608398771</v>
      </c>
      <c r="BW84" s="23">
        <f t="shared" si="66"/>
        <v>-6.821859480700908</v>
      </c>
      <c r="BX84" s="23">
        <f t="shared" si="67"/>
        <v>77.86240479460608</v>
      </c>
      <c r="BY84" s="23">
        <f t="shared" si="52"/>
        <v>70.89524285179172</v>
      </c>
      <c r="BZ84" s="22"/>
      <c r="CA84" s="10" t="e">
        <f>CB84/BZ84</f>
        <v>#DIV/0!</v>
      </c>
      <c r="CB84" s="20"/>
      <c r="CC84" s="20"/>
      <c r="CD84" s="23">
        <f t="shared" si="68"/>
        <v>-100</v>
      </c>
      <c r="CE84" s="23" t="e">
        <f t="shared" si="69"/>
        <v>#DIV/0!</v>
      </c>
      <c r="CF84" s="23">
        <f t="shared" si="70"/>
        <v>-100</v>
      </c>
      <c r="CG84" s="23">
        <f t="shared" si="71"/>
        <v>-100</v>
      </c>
    </row>
    <row r="85" spans="1:85" ht="12">
      <c r="A85" s="1" t="s">
        <v>81</v>
      </c>
      <c r="B85" s="19">
        <f>B83+B84</f>
        <v>11804.5</v>
      </c>
      <c r="C85" s="10">
        <f t="shared" si="92"/>
        <v>69.2823075945614</v>
      </c>
      <c r="D85" s="9">
        <f>D84+D83</f>
        <v>817843</v>
      </c>
      <c r="E85" s="9">
        <f>E84+E83</f>
        <v>774487</v>
      </c>
      <c r="F85" s="8"/>
      <c r="G85" s="19">
        <f>G83+G84</f>
        <v>12842.94</v>
      </c>
      <c r="H85" s="10">
        <f t="shared" si="93"/>
        <v>65.10705492667566</v>
      </c>
      <c r="I85" s="9">
        <f>I84+I83</f>
        <v>836166</v>
      </c>
      <c r="J85" s="9">
        <f>J84+J83</f>
        <v>820473</v>
      </c>
      <c r="K85" s="23">
        <f t="shared" si="87"/>
        <v>8.796984200940315</v>
      </c>
      <c r="L85" s="23">
        <f t="shared" si="88"/>
        <v>-6.026434183340484</v>
      </c>
      <c r="M85" s="23">
        <f t="shared" si="89"/>
        <v>2.2404055546113426</v>
      </c>
      <c r="N85" s="23">
        <f t="shared" si="90"/>
        <v>5.937607732602359</v>
      </c>
      <c r="O85" s="23"/>
      <c r="P85" s="19">
        <f>P83+P84</f>
        <v>15295.32</v>
      </c>
      <c r="Q85" s="10">
        <f t="shared" si="94"/>
        <v>59.967493324755544</v>
      </c>
      <c r="R85" s="9">
        <f>R84+R83</f>
        <v>917222</v>
      </c>
      <c r="S85" s="9">
        <f>S84+S83</f>
        <v>897802</v>
      </c>
      <c r="T85" s="23">
        <f t="shared" si="95"/>
        <v>19.095160453914758</v>
      </c>
      <c r="U85" s="23">
        <f t="shared" si="95"/>
        <v>-7.894016412980676</v>
      </c>
      <c r="V85" s="23">
        <f t="shared" si="95"/>
        <v>9.693768940617048</v>
      </c>
      <c r="W85" s="23">
        <f t="shared" si="95"/>
        <v>9.424929278599052</v>
      </c>
      <c r="X85" s="23"/>
      <c r="Y85" s="36">
        <f>Y83+Y84</f>
        <v>8690.84</v>
      </c>
      <c r="Z85" s="10">
        <f aca="true" t="shared" si="96" ref="Z85:Z116">AA85/Y85</f>
        <v>61.87825342544564</v>
      </c>
      <c r="AA85" s="19">
        <f>AA83+AA84</f>
        <v>537774</v>
      </c>
      <c r="AB85" s="19">
        <f>AB83+AB84</f>
        <v>520918</v>
      </c>
      <c r="AC85" s="23">
        <f t="shared" si="91"/>
        <v>-43.179743869366575</v>
      </c>
      <c r="AD85" s="23">
        <f t="shared" si="91"/>
        <v>3.186326449135251</v>
      </c>
      <c r="AE85" s="23">
        <f t="shared" si="91"/>
        <v>-41.369265019809816</v>
      </c>
      <c r="AF85" s="23">
        <f t="shared" si="91"/>
        <v>-41.978520876540706</v>
      </c>
      <c r="AG85" s="23"/>
      <c r="AH85" s="19">
        <f>AH83+AH84</f>
        <v>24025.78</v>
      </c>
      <c r="AI85" s="10">
        <f t="shared" si="43"/>
        <v>42.19159586077955</v>
      </c>
      <c r="AJ85" s="19">
        <f>AJ83+AJ84</f>
        <v>1013686</v>
      </c>
      <c r="AK85" s="19">
        <f>AK83+AK84</f>
        <v>995360</v>
      </c>
      <c r="AL85" s="23">
        <f t="shared" si="55"/>
        <v>176.44945712957548</v>
      </c>
      <c r="AM85" s="23">
        <f t="shared" si="55"/>
        <v>-31.815147446567266</v>
      </c>
      <c r="AN85" s="23">
        <f t="shared" si="55"/>
        <v>88.49665472856628</v>
      </c>
      <c r="AO85" s="23">
        <f t="shared" si="55"/>
        <v>91.07805835083448</v>
      </c>
      <c r="AP85" s="23"/>
      <c r="AQ85" s="19">
        <f>AQ83+AQ84</f>
        <v>15282.78</v>
      </c>
      <c r="AR85" s="6" t="s">
        <v>1</v>
      </c>
      <c r="AS85" s="19">
        <f>AS83+AS84</f>
        <v>827096</v>
      </c>
      <c r="AT85" s="19">
        <f>AT83+AT84</f>
        <v>808337</v>
      </c>
      <c r="AU85" s="23">
        <f t="shared" si="74"/>
        <v>-36.390077658248764</v>
      </c>
      <c r="AV85" s="23" t="e">
        <f t="shared" si="75"/>
        <v>#VALUE!</v>
      </c>
      <c r="AW85" s="23">
        <f t="shared" si="76"/>
        <v>-18.407080693627023</v>
      </c>
      <c r="AX85" s="23">
        <f t="shared" si="77"/>
        <v>-20.257653750767005</v>
      </c>
      <c r="AY85" s="23"/>
      <c r="AZ85" s="19">
        <f>AZ83+AZ84</f>
        <v>14190.34</v>
      </c>
      <c r="BA85" s="6" t="s">
        <v>1</v>
      </c>
      <c r="BB85" s="19">
        <f>BB83+BB84</f>
        <v>736029</v>
      </c>
      <c r="BC85" s="19">
        <f>BC83+BC84</f>
        <v>718482</v>
      </c>
      <c r="BD85" s="23">
        <f t="shared" si="59"/>
        <v>-7.148175920873044</v>
      </c>
      <c r="BE85" s="23" t="e">
        <f t="shared" si="60"/>
        <v>#VALUE!</v>
      </c>
      <c r="BF85" s="23">
        <f t="shared" si="61"/>
        <v>-11.010451023823109</v>
      </c>
      <c r="BG85" s="23">
        <f t="shared" si="48"/>
        <v>-13.131970170330888</v>
      </c>
      <c r="BH85" s="23"/>
      <c r="BI85" s="19">
        <f>BI83+BI84</f>
        <v>15821.29</v>
      </c>
      <c r="BJ85" s="6" t="s">
        <v>1</v>
      </c>
      <c r="BK85" s="19">
        <f>BK83+BK84</f>
        <v>815384</v>
      </c>
      <c r="BL85" s="19">
        <f>BL83+BL84</f>
        <v>799767</v>
      </c>
      <c r="BM85" s="23">
        <f t="shared" si="62"/>
        <v>11.493382117694154</v>
      </c>
      <c r="BN85" s="23" t="e">
        <f t="shared" si="63"/>
        <v>#VALUE!</v>
      </c>
      <c r="BO85" s="23">
        <f t="shared" si="64"/>
        <v>10.781504533109427</v>
      </c>
      <c r="BP85" s="23">
        <f t="shared" si="50"/>
        <v>8.659713136303054</v>
      </c>
      <c r="BQ85" s="23"/>
      <c r="BR85" s="19">
        <f>BR83+BR84</f>
        <v>14939.91</v>
      </c>
      <c r="BS85" s="6" t="s">
        <v>1</v>
      </c>
      <c r="BT85" s="19">
        <f>BT83+BT84</f>
        <v>761294</v>
      </c>
      <c r="BU85" s="19">
        <f>BU83+BU84</f>
        <v>747021</v>
      </c>
      <c r="BV85" s="23">
        <f t="shared" si="65"/>
        <v>-5.570847889141788</v>
      </c>
      <c r="BW85" s="23" t="e">
        <f t="shared" si="66"/>
        <v>#VALUE!</v>
      </c>
      <c r="BX85" s="23">
        <f t="shared" si="67"/>
        <v>-6.633684251837167</v>
      </c>
      <c r="BY85" s="23">
        <f t="shared" si="52"/>
        <v>-8.384147837092712</v>
      </c>
      <c r="BZ85" s="19">
        <f>BZ83+BZ84</f>
        <v>16202</v>
      </c>
      <c r="CA85" s="6" t="s">
        <v>1</v>
      </c>
      <c r="CB85" s="19">
        <f>CB83+CB84</f>
        <v>989116</v>
      </c>
      <c r="CC85" s="19">
        <f>CC83+CC84</f>
        <v>975386</v>
      </c>
      <c r="CD85" s="23">
        <f t="shared" si="68"/>
        <v>8.44777512046592</v>
      </c>
      <c r="CE85" s="23" t="e">
        <f t="shared" si="69"/>
        <v>#VALUE!</v>
      </c>
      <c r="CF85" s="23">
        <f t="shared" si="70"/>
        <v>29.925626630447624</v>
      </c>
      <c r="CG85" s="23">
        <f t="shared" si="71"/>
        <v>30.570091068390326</v>
      </c>
    </row>
    <row r="86" spans="1:85" ht="12">
      <c r="A86" s="1" t="s">
        <v>82</v>
      </c>
      <c r="B86" s="20">
        <f>23401+94346</f>
        <v>117747</v>
      </c>
      <c r="C86" s="10">
        <f t="shared" si="92"/>
        <v>524.7226426150985</v>
      </c>
      <c r="D86" s="11">
        <f>7575575+54208942</f>
        <v>61784517</v>
      </c>
      <c r="E86" s="11">
        <f>7440275+52607531</f>
        <v>60047806</v>
      </c>
      <c r="F86" s="8"/>
      <c r="G86" s="20">
        <f>19806+88389</f>
        <v>108195</v>
      </c>
      <c r="H86" s="10">
        <f t="shared" si="93"/>
        <v>517.4868524423495</v>
      </c>
      <c r="I86" s="11">
        <f>6197499+49791991</f>
        <v>55989490</v>
      </c>
      <c r="J86" s="11">
        <f>6049928+48702025</f>
        <v>54751953</v>
      </c>
      <c r="K86" s="23">
        <f t="shared" si="87"/>
        <v>-8.11230859384952</v>
      </c>
      <c r="L86" s="23">
        <f t="shared" si="88"/>
        <v>-1.3789742589889897</v>
      </c>
      <c r="M86" s="23">
        <f t="shared" si="89"/>
        <v>-9.379416205519576</v>
      </c>
      <c r="N86" s="23">
        <f t="shared" si="90"/>
        <v>-8.819394666975839</v>
      </c>
      <c r="O86" s="23"/>
      <c r="P86" s="20">
        <f>19314+96768</f>
        <v>116082</v>
      </c>
      <c r="Q86" s="10">
        <f t="shared" si="94"/>
        <v>575.4666787271067</v>
      </c>
      <c r="R86" s="11">
        <f>6020841+60780482</f>
        <v>66801323</v>
      </c>
      <c r="S86" s="11">
        <f>5764933+59180897</f>
        <v>64945830</v>
      </c>
      <c r="T86" s="23">
        <f t="shared" si="95"/>
        <v>7.2896159711631725</v>
      </c>
      <c r="U86" s="23">
        <f t="shared" si="95"/>
        <v>11.204115816877973</v>
      </c>
      <c r="V86" s="23">
        <f t="shared" si="95"/>
        <v>19.3104688040559</v>
      </c>
      <c r="W86" s="23">
        <f t="shared" si="95"/>
        <v>18.6182892873246</v>
      </c>
      <c r="X86" s="23"/>
      <c r="Y86" s="20">
        <f>19679+94514</f>
        <v>114193</v>
      </c>
      <c r="Z86" s="10">
        <f t="shared" si="96"/>
        <v>505.7327506940005</v>
      </c>
      <c r="AA86" s="20">
        <f>6493604+51257536</f>
        <v>57751140</v>
      </c>
      <c r="AB86" s="20">
        <f>6314289+49971461</f>
        <v>56285750</v>
      </c>
      <c r="AC86" s="23">
        <f t="shared" si="91"/>
        <v>-1.6272979445564317</v>
      </c>
      <c r="AD86" s="23">
        <f t="shared" si="91"/>
        <v>-12.117804663747506</v>
      </c>
      <c r="AE86" s="23">
        <f t="shared" si="91"/>
        <v>-13.547909822085415</v>
      </c>
      <c r="AF86" s="23">
        <f t="shared" si="91"/>
        <v>-13.334312610986728</v>
      </c>
      <c r="AG86" s="23"/>
      <c r="AH86" s="20">
        <f>19453+84325</f>
        <v>103778</v>
      </c>
      <c r="AI86" s="10">
        <f t="shared" si="43"/>
        <v>588.6184451425157</v>
      </c>
      <c r="AJ86" s="20">
        <f>6376094+54709551</f>
        <v>61085645</v>
      </c>
      <c r="AK86" s="20">
        <f>6211811+53403471</f>
        <v>59615282</v>
      </c>
      <c r="AL86" s="23">
        <f t="shared" si="55"/>
        <v>-9.120524025115373</v>
      </c>
      <c r="AM86" s="23">
        <f t="shared" si="55"/>
        <v>16.389228171356095</v>
      </c>
      <c r="AN86" s="23">
        <f t="shared" si="55"/>
        <v>5.7739206533412215</v>
      </c>
      <c r="AO86" s="23">
        <f t="shared" si="55"/>
        <v>5.915408429309366</v>
      </c>
      <c r="AP86" s="23"/>
      <c r="AQ86" s="20">
        <f>16325+75525</f>
        <v>91850</v>
      </c>
      <c r="AR86" s="10">
        <f>AS86/AQ86</f>
        <v>575.0901469787698</v>
      </c>
      <c r="AS86" s="20">
        <f>4896350+47925680</f>
        <v>52822030</v>
      </c>
      <c r="AT86" s="20">
        <f>4606514+46713257</f>
        <v>51319771</v>
      </c>
      <c r="AU86" s="23">
        <f t="shared" si="74"/>
        <v>-11.493765537975293</v>
      </c>
      <c r="AV86" s="23">
        <f t="shared" si="75"/>
        <v>-2.298313665734767</v>
      </c>
      <c r="AW86" s="23">
        <f t="shared" si="76"/>
        <v>-13.527916419643276</v>
      </c>
      <c r="AX86" s="23">
        <f t="shared" si="77"/>
        <v>-15.987183240841603</v>
      </c>
      <c r="AY86" s="23"/>
      <c r="AZ86" s="20">
        <f>19384+68900</f>
        <v>88284</v>
      </c>
      <c r="BA86" s="10">
        <f>BB86/AZ86</f>
        <v>572.3990530560463</v>
      </c>
      <c r="BB86" s="20">
        <f>5935350+44598328</f>
        <v>50533678</v>
      </c>
      <c r="BC86" s="20">
        <f>5672076+43215688</f>
        <v>48887764</v>
      </c>
      <c r="BD86" s="23">
        <f t="shared" si="59"/>
        <v>-3.8824169842133927</v>
      </c>
      <c r="BE86" s="23">
        <f t="shared" si="60"/>
        <v>-0.46794297152561626</v>
      </c>
      <c r="BF86" s="23">
        <f t="shared" si="61"/>
        <v>-4.3321924583360385</v>
      </c>
      <c r="BG86" s="23">
        <f t="shared" si="48"/>
        <v>-7.448153734341517</v>
      </c>
      <c r="BH86" s="23"/>
      <c r="BI86" s="20">
        <f>18418+77539</f>
        <v>95957</v>
      </c>
      <c r="BJ86" s="10">
        <f>BK86/BI86</f>
        <v>547.9443709161395</v>
      </c>
      <c r="BK86" s="20">
        <f>5438425+47140673</f>
        <v>52579098</v>
      </c>
      <c r="BL86" s="20">
        <f>4902063+46092694</f>
        <v>50994757</v>
      </c>
      <c r="BM86" s="23">
        <f t="shared" si="62"/>
        <v>8.691269086131129</v>
      </c>
      <c r="BN86" s="23">
        <f t="shared" si="63"/>
        <v>-4.2723135213699095</v>
      </c>
      <c r="BO86" s="23">
        <f t="shared" si="64"/>
        <v>4.047637300415772</v>
      </c>
      <c r="BP86" s="23">
        <f t="shared" si="50"/>
        <v>0.9124192385125838</v>
      </c>
      <c r="BQ86" s="23"/>
      <c r="BR86" s="20">
        <f>18072+81669</f>
        <v>99741</v>
      </c>
      <c r="BS86" s="10">
        <f>BT86/BR86</f>
        <v>612.0595341935614</v>
      </c>
      <c r="BT86" s="20">
        <f>5761546+55285884</f>
        <v>61047430</v>
      </c>
      <c r="BU86" s="20">
        <f>5282765+53656833</f>
        <v>58939598</v>
      </c>
      <c r="BV86" s="23">
        <f t="shared" si="65"/>
        <v>3.943432996029472</v>
      </c>
      <c r="BW86" s="23">
        <f t="shared" si="66"/>
        <v>11.701035119719194</v>
      </c>
      <c r="BX86" s="23">
        <f t="shared" si="67"/>
        <v>16.10589059553665</v>
      </c>
      <c r="BY86" s="23"/>
      <c r="BZ86" s="20"/>
      <c r="CA86" s="10" t="e">
        <f>CB86/BZ86</f>
        <v>#DIV/0!</v>
      </c>
      <c r="CB86" s="20"/>
      <c r="CC86" s="20"/>
      <c r="CD86" s="23">
        <f t="shared" si="68"/>
        <v>-100</v>
      </c>
      <c r="CE86" s="23" t="e">
        <f t="shared" si="69"/>
        <v>#DIV/0!</v>
      </c>
      <c r="CF86" s="23">
        <f t="shared" si="70"/>
        <v>-100</v>
      </c>
      <c r="CG86" s="23">
        <f t="shared" si="71"/>
        <v>-100</v>
      </c>
    </row>
    <row r="87" spans="1:85" ht="12">
      <c r="A87" s="1" t="s">
        <v>83</v>
      </c>
      <c r="B87" s="22">
        <v>7552.9</v>
      </c>
      <c r="C87" s="10">
        <f t="shared" si="92"/>
        <v>714.2840498351627</v>
      </c>
      <c r="D87" s="11">
        <v>5394916</v>
      </c>
      <c r="E87" s="11">
        <v>5253812</v>
      </c>
      <c r="F87" s="8"/>
      <c r="G87" s="22">
        <v>7280.8</v>
      </c>
      <c r="H87" s="10">
        <f t="shared" si="93"/>
        <v>709.070431820679</v>
      </c>
      <c r="I87" s="11">
        <v>5162600</v>
      </c>
      <c r="J87" s="11">
        <v>5017164</v>
      </c>
      <c r="K87" s="23">
        <f t="shared" si="87"/>
        <v>-3.602589733744651</v>
      </c>
      <c r="L87" s="23">
        <f t="shared" si="88"/>
        <v>-0.7299082228823295</v>
      </c>
      <c r="M87" s="23">
        <f t="shared" si="89"/>
        <v>-4.306202357923638</v>
      </c>
      <c r="N87" s="23">
        <f t="shared" si="90"/>
        <v>-4.504310394052922</v>
      </c>
      <c r="O87" s="23"/>
      <c r="P87" s="22">
        <v>7543.01</v>
      </c>
      <c r="Q87" s="10">
        <f t="shared" si="94"/>
        <v>723.1207435758404</v>
      </c>
      <c r="R87" s="11">
        <v>5454507</v>
      </c>
      <c r="S87" s="11">
        <v>3835776</v>
      </c>
      <c r="T87" s="23">
        <f t="shared" si="95"/>
        <v>3.6013899571475605</v>
      </c>
      <c r="U87" s="23">
        <f t="shared" si="95"/>
        <v>1.9815114443686923</v>
      </c>
      <c r="V87" s="23">
        <f t="shared" si="95"/>
        <v>5.654263355673493</v>
      </c>
      <c r="W87" s="23">
        <f t="shared" si="95"/>
        <v>-23.546928105200465</v>
      </c>
      <c r="X87" s="23"/>
      <c r="Y87" s="22">
        <v>4627.29</v>
      </c>
      <c r="Z87" s="10">
        <f t="shared" si="96"/>
        <v>882.1327386007792</v>
      </c>
      <c r="AA87" s="20">
        <v>4081884</v>
      </c>
      <c r="AB87" s="20">
        <v>3962060</v>
      </c>
      <c r="AC87" s="23">
        <f t="shared" si="91"/>
        <v>-38.65459544664531</v>
      </c>
      <c r="AD87" s="23">
        <f t="shared" si="91"/>
        <v>21.98968795150624</v>
      </c>
      <c r="AE87" s="23">
        <f t="shared" si="91"/>
        <v>-25.16493241277351</v>
      </c>
      <c r="AF87" s="23">
        <f t="shared" si="91"/>
        <v>3.2922673273934606</v>
      </c>
      <c r="AG87" s="23"/>
      <c r="AH87" s="22">
        <v>7611.4</v>
      </c>
      <c r="AI87" s="10">
        <f t="shared" si="43"/>
        <v>697.105788685393</v>
      </c>
      <c r="AJ87" s="20">
        <v>5305951</v>
      </c>
      <c r="AK87" s="20">
        <v>5173086</v>
      </c>
      <c r="AL87" s="23">
        <f t="shared" si="55"/>
        <v>64.4893663461767</v>
      </c>
      <c r="AM87" s="23">
        <f t="shared" si="55"/>
        <v>-20.974955561548725</v>
      </c>
      <c r="AN87" s="23">
        <f t="shared" si="55"/>
        <v>29.987794851593037</v>
      </c>
      <c r="AO87" s="23">
        <f t="shared" si="55"/>
        <v>30.56556437812654</v>
      </c>
      <c r="AP87" s="23"/>
      <c r="AQ87" s="22">
        <v>6360.28</v>
      </c>
      <c r="AR87" s="10">
        <f>AS87/AQ87</f>
        <v>734.8641883690656</v>
      </c>
      <c r="AS87" s="20">
        <v>4673942</v>
      </c>
      <c r="AT87" s="20">
        <v>4603248</v>
      </c>
      <c r="AU87" s="23">
        <f t="shared" si="74"/>
        <v>-16.43744908952361</v>
      </c>
      <c r="AV87" s="23">
        <f t="shared" si="75"/>
        <v>5.4164518924563225</v>
      </c>
      <c r="AW87" s="23">
        <f t="shared" si="76"/>
        <v>-11.911323719348331</v>
      </c>
      <c r="AX87" s="23">
        <f t="shared" si="77"/>
        <v>-13.24367676972517</v>
      </c>
      <c r="AY87" s="23"/>
      <c r="AZ87" s="22">
        <v>6906.58</v>
      </c>
      <c r="BA87" s="10">
        <f>BB87/AZ87</f>
        <v>731.8573012981823</v>
      </c>
      <c r="BB87" s="20">
        <v>5054631</v>
      </c>
      <c r="BC87" s="20">
        <v>4324726</v>
      </c>
      <c r="BD87" s="23">
        <f t="shared" si="59"/>
        <v>8.58924449866987</v>
      </c>
      <c r="BE87" s="23">
        <f t="shared" si="60"/>
        <v>-0.40917588834430774</v>
      </c>
      <c r="BF87" s="23">
        <f t="shared" si="61"/>
        <v>8.144923492846075</v>
      </c>
      <c r="BG87" s="23">
        <f aca="true" t="shared" si="97" ref="BG87:BG116">BC87*100/AS87-100</f>
        <v>-7.4715518506648095</v>
      </c>
      <c r="BH87" s="23"/>
      <c r="BI87" s="22">
        <v>7152.25</v>
      </c>
      <c r="BJ87" s="10">
        <f>BK87/BI87</f>
        <v>715.8744451046873</v>
      </c>
      <c r="BK87" s="20">
        <v>5120113</v>
      </c>
      <c r="BL87" s="20">
        <v>4986063</v>
      </c>
      <c r="BM87" s="23">
        <f t="shared" si="62"/>
        <v>3.5570427042038233</v>
      </c>
      <c r="BN87" s="23">
        <f t="shared" si="63"/>
        <v>-2.1838760322735453</v>
      </c>
      <c r="BO87" s="23">
        <f t="shared" si="64"/>
        <v>1.2954852688554297</v>
      </c>
      <c r="BP87" s="23">
        <f aca="true" t="shared" si="98" ref="BP87:BP116">BL87*100/BB87-100</f>
        <v>-1.3565381924021693</v>
      </c>
      <c r="BQ87" s="23"/>
      <c r="BR87" s="22">
        <v>7436.54</v>
      </c>
      <c r="BS87" s="10">
        <f>BT87/BR87</f>
        <v>719.920823393675</v>
      </c>
      <c r="BT87" s="20">
        <v>5353720</v>
      </c>
      <c r="BU87" s="20">
        <v>5162891</v>
      </c>
      <c r="BV87" s="23">
        <f t="shared" si="65"/>
        <v>3.9748330944807577</v>
      </c>
      <c r="BW87" s="23">
        <f t="shared" si="66"/>
        <v>0.5652357500198377</v>
      </c>
      <c r="BX87" s="23">
        <f t="shared" si="67"/>
        <v>4.562536022154205</v>
      </c>
      <c r="BY87" s="23">
        <f aca="true" t="shared" si="99" ref="BY87:BY116">BU87*100/BK87-100</f>
        <v>0.835489372988448</v>
      </c>
      <c r="BZ87" s="22"/>
      <c r="CA87" s="10" t="e">
        <f>CB87/BZ87</f>
        <v>#DIV/0!</v>
      </c>
      <c r="CB87" s="20"/>
      <c r="CC87" s="20"/>
      <c r="CD87" s="23">
        <f t="shared" si="68"/>
        <v>-100</v>
      </c>
      <c r="CE87" s="23" t="e">
        <f t="shared" si="69"/>
        <v>#DIV/0!</v>
      </c>
      <c r="CF87" s="23">
        <f t="shared" si="70"/>
        <v>-100</v>
      </c>
      <c r="CG87" s="23">
        <f t="shared" si="71"/>
        <v>-100</v>
      </c>
    </row>
    <row r="88" spans="1:85" ht="12">
      <c r="A88" s="1" t="s">
        <v>84</v>
      </c>
      <c r="B88" s="19">
        <f>B86+B87</f>
        <v>125299.9</v>
      </c>
      <c r="C88" s="10">
        <f t="shared" si="92"/>
        <v>536.1491349953193</v>
      </c>
      <c r="D88" s="9">
        <f>D87+D86</f>
        <v>67179433</v>
      </c>
      <c r="E88" s="9">
        <f>E87+E86</f>
        <v>65301618</v>
      </c>
      <c r="F88" s="8"/>
      <c r="G88" s="19">
        <f>G86+G87</f>
        <v>115475.8</v>
      </c>
      <c r="H88" s="10">
        <f t="shared" si="93"/>
        <v>529.5662814200032</v>
      </c>
      <c r="I88" s="9">
        <f>I87+I86</f>
        <v>61152090</v>
      </c>
      <c r="J88" s="9">
        <f>J87+J86</f>
        <v>59769117</v>
      </c>
      <c r="K88" s="23">
        <f t="shared" si="87"/>
        <v>-7.840469146423899</v>
      </c>
      <c r="L88" s="23">
        <f t="shared" si="88"/>
        <v>-1.227802703696156</v>
      </c>
      <c r="M88" s="23">
        <f t="shared" si="89"/>
        <v>-8.972006357957795</v>
      </c>
      <c r="N88" s="23">
        <f t="shared" si="90"/>
        <v>-8.472226522779266</v>
      </c>
      <c r="O88" s="23"/>
      <c r="P88" s="19">
        <f>P86+P87</f>
        <v>123625.01</v>
      </c>
      <c r="Q88" s="10">
        <f t="shared" si="94"/>
        <v>584.4758273427036</v>
      </c>
      <c r="R88" s="11">
        <f>R87+R86</f>
        <v>72255830</v>
      </c>
      <c r="S88" s="11">
        <f>S87+S86</f>
        <v>68781606</v>
      </c>
      <c r="T88" s="23">
        <f t="shared" si="95"/>
        <v>7.057071698139353</v>
      </c>
      <c r="U88" s="23">
        <f t="shared" si="95"/>
        <v>10.3687768366716</v>
      </c>
      <c r="V88" s="23">
        <f t="shared" si="95"/>
        <v>18.157580550394925</v>
      </c>
      <c r="W88" s="23">
        <f t="shared" si="95"/>
        <v>15.078839126902281</v>
      </c>
      <c r="X88" s="23"/>
      <c r="Y88" s="36">
        <f>Y86+Y87</f>
        <v>118820.29</v>
      </c>
      <c r="Z88" s="10">
        <f t="shared" si="96"/>
        <v>520.3911217520173</v>
      </c>
      <c r="AA88" s="19">
        <f>AA86+AA87</f>
        <v>61833024</v>
      </c>
      <c r="AB88" s="19">
        <f>AB86+AB87</f>
        <v>60247810</v>
      </c>
      <c r="AC88" s="23">
        <f t="shared" si="91"/>
        <v>-3.8865274914841166</v>
      </c>
      <c r="AD88" s="23">
        <f t="shared" si="91"/>
        <v>-10.964474935096106</v>
      </c>
      <c r="AE88" s="23">
        <f t="shared" si="91"/>
        <v>-14.424865093930833</v>
      </c>
      <c r="AF88" s="23">
        <f t="shared" si="91"/>
        <v>-12.407090349126193</v>
      </c>
      <c r="AG88" s="23"/>
      <c r="AH88" s="19">
        <f>AH86+AH87</f>
        <v>111389.4</v>
      </c>
      <c r="AI88" s="10">
        <f t="shared" si="43"/>
        <v>596.0315433964093</v>
      </c>
      <c r="AJ88" s="19">
        <f>AJ86+AJ87</f>
        <v>66391596</v>
      </c>
      <c r="AK88" s="19">
        <f>AK86+AK87</f>
        <v>64788368</v>
      </c>
      <c r="AL88" s="23">
        <f t="shared" si="55"/>
        <v>-6.2538898028274446</v>
      </c>
      <c r="AM88" s="23">
        <f t="shared" si="55"/>
        <v>14.535302099261614</v>
      </c>
      <c r="AN88" s="23">
        <f t="shared" si="55"/>
        <v>7.372390520638291</v>
      </c>
      <c r="AO88" s="23">
        <f t="shared" si="55"/>
        <v>7.536469790354204</v>
      </c>
      <c r="AP88" s="23"/>
      <c r="AQ88" s="19">
        <f>AQ86+AQ87</f>
        <v>98210.28</v>
      </c>
      <c r="AR88" s="6" t="s">
        <v>1</v>
      </c>
      <c r="AS88" s="19">
        <f>AS86+AS87</f>
        <v>57495972</v>
      </c>
      <c r="AT88" s="19">
        <f>AT86+AT87</f>
        <v>55923019</v>
      </c>
      <c r="AU88" s="23">
        <f t="shared" si="74"/>
        <v>-11.831574638161257</v>
      </c>
      <c r="AV88" s="23" t="e">
        <f t="shared" si="75"/>
        <v>#VALUE!</v>
      </c>
      <c r="AW88" s="23">
        <f t="shared" si="76"/>
        <v>-13.398719922322698</v>
      </c>
      <c r="AX88" s="23">
        <f t="shared" si="77"/>
        <v>-15.767924904230355</v>
      </c>
      <c r="AY88" s="23"/>
      <c r="AZ88" s="19">
        <f>AZ86+AZ87</f>
        <v>95190.58</v>
      </c>
      <c r="BA88" s="6" t="s">
        <v>1</v>
      </c>
      <c r="BB88" s="19">
        <f>BB86+BB87</f>
        <v>55588309</v>
      </c>
      <c r="BC88" s="19">
        <f>BC86+BC87</f>
        <v>53212490</v>
      </c>
      <c r="BD88" s="23">
        <f t="shared" si="59"/>
        <v>-3.0747290405851544</v>
      </c>
      <c r="BE88" s="23" t="e">
        <f t="shared" si="60"/>
        <v>#VALUE!</v>
      </c>
      <c r="BF88" s="23">
        <f t="shared" si="61"/>
        <v>-3.317907209221545</v>
      </c>
      <c r="BG88" s="23">
        <f t="shared" si="97"/>
        <v>-7.450055805648432</v>
      </c>
      <c r="BH88" s="23"/>
      <c r="BI88" s="19">
        <f>BI86+BI87</f>
        <v>103109.25</v>
      </c>
      <c r="BJ88" s="6" t="s">
        <v>1</v>
      </c>
      <c r="BK88" s="19">
        <f>BK86+BK87</f>
        <v>57699211</v>
      </c>
      <c r="BL88" s="19">
        <f>BL86+BL87</f>
        <v>55980820</v>
      </c>
      <c r="BM88" s="23">
        <f t="shared" si="62"/>
        <v>8.318753809463075</v>
      </c>
      <c r="BN88" s="23" t="e">
        <f t="shared" si="63"/>
        <v>#VALUE!</v>
      </c>
      <c r="BO88" s="23">
        <f t="shared" si="64"/>
        <v>3.797384806218872</v>
      </c>
      <c r="BP88" s="23">
        <f t="shared" si="98"/>
        <v>0.7061035082034977</v>
      </c>
      <c r="BQ88" s="23"/>
      <c r="BR88" s="19">
        <f>BR86+BR87</f>
        <v>107177.54</v>
      </c>
      <c r="BS88" s="6" t="s">
        <v>1</v>
      </c>
      <c r="BT88" s="19">
        <f>BT86+BT87</f>
        <v>66401150</v>
      </c>
      <c r="BU88" s="19">
        <f>BU86+BU87</f>
        <v>64102489</v>
      </c>
      <c r="BV88" s="23">
        <f t="shared" si="65"/>
        <v>3.9456110872690857</v>
      </c>
      <c r="BW88" s="23" t="e">
        <f t="shared" si="66"/>
        <v>#VALUE!</v>
      </c>
      <c r="BX88" s="23">
        <f t="shared" si="67"/>
        <v>15.081556314522217</v>
      </c>
      <c r="BY88" s="23">
        <f t="shared" si="99"/>
        <v>11.097687280333872</v>
      </c>
      <c r="BZ88" s="19">
        <f>BZ86+BZ87</f>
        <v>0</v>
      </c>
      <c r="CA88" s="6" t="s">
        <v>1</v>
      </c>
      <c r="CB88" s="19">
        <f>CB86+CB87</f>
        <v>0</v>
      </c>
      <c r="CC88" s="19">
        <f>CC86+CC87</f>
        <v>0</v>
      </c>
      <c r="CD88" s="23">
        <f t="shared" si="68"/>
        <v>-100</v>
      </c>
      <c r="CE88" s="23" t="e">
        <f t="shared" si="69"/>
        <v>#VALUE!</v>
      </c>
      <c r="CF88" s="23">
        <f t="shared" si="70"/>
        <v>-100</v>
      </c>
      <c r="CG88" s="23">
        <f t="shared" si="71"/>
        <v>-100</v>
      </c>
    </row>
    <row r="89" spans="1:85" ht="12">
      <c r="A89" s="1" t="s">
        <v>85</v>
      </c>
      <c r="B89" s="20">
        <v>570</v>
      </c>
      <c r="C89" s="10">
        <f t="shared" si="92"/>
        <v>257.86140350877196</v>
      </c>
      <c r="D89" s="11">
        <v>146981</v>
      </c>
      <c r="E89" s="11">
        <v>143948</v>
      </c>
      <c r="F89" s="6" t="s">
        <v>1</v>
      </c>
      <c r="G89" s="20">
        <v>605</v>
      </c>
      <c r="H89" s="10">
        <f t="shared" si="93"/>
        <v>252.93388429752065</v>
      </c>
      <c r="I89" s="11">
        <v>153025</v>
      </c>
      <c r="J89" s="11">
        <v>149785</v>
      </c>
      <c r="K89" s="23">
        <f t="shared" si="87"/>
        <v>6.1403508771929864</v>
      </c>
      <c r="L89" s="23">
        <f t="shared" si="88"/>
        <v>-1.9109177039299254</v>
      </c>
      <c r="M89" s="23">
        <f t="shared" si="89"/>
        <v>4.112096121267371</v>
      </c>
      <c r="N89" s="23">
        <f t="shared" si="90"/>
        <v>4.054936504848968</v>
      </c>
      <c r="O89" s="23"/>
      <c r="P89" s="20">
        <v>481</v>
      </c>
      <c r="Q89" s="10">
        <f t="shared" si="94"/>
        <v>261.5571725571726</v>
      </c>
      <c r="R89" s="11">
        <v>125809</v>
      </c>
      <c r="S89" s="11">
        <v>123652</v>
      </c>
      <c r="T89" s="23">
        <f t="shared" si="95"/>
        <v>-20.495867768595048</v>
      </c>
      <c r="U89" s="23">
        <f t="shared" si="95"/>
        <v>3.4093052750134945</v>
      </c>
      <c r="V89" s="23">
        <f t="shared" si="95"/>
        <v>-17.78532919457605</v>
      </c>
      <c r="W89" s="23">
        <f t="shared" si="95"/>
        <v>-17.44700737724071</v>
      </c>
      <c r="X89" s="23"/>
      <c r="Y89" s="20">
        <v>473</v>
      </c>
      <c r="Z89" s="10">
        <f t="shared" si="96"/>
        <v>260.12050739957715</v>
      </c>
      <c r="AA89" s="20">
        <v>123037</v>
      </c>
      <c r="AB89" s="20">
        <v>120838</v>
      </c>
      <c r="AC89" s="23">
        <f t="shared" si="91"/>
        <v>-1.6632016632016615</v>
      </c>
      <c r="AD89" s="23">
        <f t="shared" si="91"/>
        <v>-0.5492738522708294</v>
      </c>
      <c r="AE89" s="23">
        <f t="shared" si="91"/>
        <v>-2.203339983625966</v>
      </c>
      <c r="AF89" s="23">
        <f t="shared" si="91"/>
        <v>-2.275741597386215</v>
      </c>
      <c r="AG89" s="23"/>
      <c r="AH89" s="20">
        <v>372</v>
      </c>
      <c r="AI89" s="10">
        <f aca="true" t="shared" si="100" ref="AI89:AI116">AJ89/AH89</f>
        <v>259.38440860215053</v>
      </c>
      <c r="AJ89" s="20">
        <v>96491</v>
      </c>
      <c r="AK89" s="20">
        <v>94946</v>
      </c>
      <c r="AL89" s="23">
        <f t="shared" si="55"/>
        <v>-21.353065539112052</v>
      </c>
      <c r="AM89" s="23">
        <f t="shared" si="55"/>
        <v>-0.2829837619437967</v>
      </c>
      <c r="AN89" s="23">
        <f t="shared" si="55"/>
        <v>-21.575623592902943</v>
      </c>
      <c r="AO89" s="23">
        <f t="shared" si="55"/>
        <v>-21.427034542114242</v>
      </c>
      <c r="AP89" s="23"/>
      <c r="AQ89" s="20">
        <v>306</v>
      </c>
      <c r="AR89" s="10">
        <f>AS89/AQ89</f>
        <v>230.15359477124184</v>
      </c>
      <c r="AS89" s="20">
        <v>70427</v>
      </c>
      <c r="AT89" s="20">
        <v>68841</v>
      </c>
      <c r="AU89" s="23">
        <f t="shared" si="74"/>
        <v>-17.74193548387096</v>
      </c>
      <c r="AV89" s="23">
        <f t="shared" si="75"/>
        <v>-11.269302572362221</v>
      </c>
      <c r="AW89" s="23">
        <f t="shared" si="76"/>
        <v>-27.011845664362482</v>
      </c>
      <c r="AX89" s="23">
        <f t="shared" si="77"/>
        <v>-28.655522276689013</v>
      </c>
      <c r="AY89" s="23"/>
      <c r="AZ89" s="20">
        <v>270</v>
      </c>
      <c r="BA89" s="10">
        <f>BB89/AZ89</f>
        <v>279.5</v>
      </c>
      <c r="BB89" s="20">
        <v>75465</v>
      </c>
      <c r="BC89" s="20">
        <v>72816</v>
      </c>
      <c r="BD89" s="23">
        <f t="shared" si="59"/>
        <v>-11.764705882352942</v>
      </c>
      <c r="BE89" s="23">
        <f t="shared" si="60"/>
        <v>21.44064066338194</v>
      </c>
      <c r="BF89" s="23">
        <f t="shared" si="61"/>
        <v>7.153506467689951</v>
      </c>
      <c r="BG89" s="23">
        <f t="shared" si="97"/>
        <v>3.392164936743015</v>
      </c>
      <c r="BH89" s="23"/>
      <c r="BI89" s="20">
        <v>338</v>
      </c>
      <c r="BJ89" s="10">
        <f>BK89/BI89</f>
        <v>264.00295857988164</v>
      </c>
      <c r="BK89" s="20">
        <v>89233</v>
      </c>
      <c r="BL89" s="20">
        <v>86743</v>
      </c>
      <c r="BM89" s="23">
        <f t="shared" si="62"/>
        <v>25.18518518518519</v>
      </c>
      <c r="BN89" s="23">
        <f t="shared" si="63"/>
        <v>-5.544558647627326</v>
      </c>
      <c r="BO89" s="23">
        <f t="shared" si="64"/>
        <v>18.24421917445173</v>
      </c>
      <c r="BP89" s="23">
        <f t="shared" si="98"/>
        <v>14.944676340025183</v>
      </c>
      <c r="BQ89" s="23"/>
      <c r="BR89" s="20">
        <v>359</v>
      </c>
      <c r="BS89" s="10">
        <f>BT89/BR89</f>
        <v>271.50139275766014</v>
      </c>
      <c r="BT89" s="20">
        <v>97469</v>
      </c>
      <c r="BU89" s="20">
        <v>92261</v>
      </c>
      <c r="BV89" s="23">
        <f t="shared" si="65"/>
        <v>6.213017751479285</v>
      </c>
      <c r="BW89" s="23">
        <f t="shared" si="66"/>
        <v>2.840284146099691</v>
      </c>
      <c r="BX89" s="23">
        <f t="shared" si="67"/>
        <v>9.229769255768602</v>
      </c>
      <c r="BY89" s="23">
        <f t="shared" si="99"/>
        <v>3.3933634417760317</v>
      </c>
      <c r="BZ89" s="20"/>
      <c r="CA89" s="10" t="e">
        <f>CB89/BZ89</f>
        <v>#DIV/0!</v>
      </c>
      <c r="CB89" s="20"/>
      <c r="CC89" s="20"/>
      <c r="CD89" s="23">
        <f t="shared" si="68"/>
        <v>-100</v>
      </c>
      <c r="CE89" s="23" t="e">
        <f t="shared" si="69"/>
        <v>#DIV/0!</v>
      </c>
      <c r="CF89" s="23">
        <f t="shared" si="70"/>
        <v>-100</v>
      </c>
      <c r="CG89" s="23">
        <f t="shared" si="71"/>
        <v>-100</v>
      </c>
    </row>
    <row r="90" spans="1:85" ht="12">
      <c r="A90" s="1" t="s">
        <v>86</v>
      </c>
      <c r="B90" s="20">
        <v>1378</v>
      </c>
      <c r="C90" s="10">
        <f t="shared" si="92"/>
        <v>178.2278664731495</v>
      </c>
      <c r="D90" s="11">
        <v>245598</v>
      </c>
      <c r="E90" s="11">
        <v>234112</v>
      </c>
      <c r="F90" s="8"/>
      <c r="G90" s="20">
        <v>1311</v>
      </c>
      <c r="H90" s="10">
        <f t="shared" si="93"/>
        <v>178.76430205949657</v>
      </c>
      <c r="I90" s="11">
        <v>234360</v>
      </c>
      <c r="J90" s="11">
        <v>225167</v>
      </c>
      <c r="K90" s="23">
        <f t="shared" si="87"/>
        <v>-4.8621190130624115</v>
      </c>
      <c r="L90" s="23">
        <f t="shared" si="88"/>
        <v>0.3009830039276693</v>
      </c>
      <c r="M90" s="23">
        <f t="shared" si="89"/>
        <v>-4.575770160994793</v>
      </c>
      <c r="N90" s="23">
        <f t="shared" si="90"/>
        <v>-3.8208208037178792</v>
      </c>
      <c r="O90" s="23"/>
      <c r="P90" s="20">
        <v>1273</v>
      </c>
      <c r="Q90" s="10">
        <f t="shared" si="94"/>
        <v>177.2254516889238</v>
      </c>
      <c r="R90" s="11">
        <v>225608</v>
      </c>
      <c r="S90" s="11">
        <v>218060</v>
      </c>
      <c r="T90" s="23">
        <f t="shared" si="95"/>
        <v>-2.898550724637687</v>
      </c>
      <c r="U90" s="23">
        <f t="shared" si="95"/>
        <v>-0.8608264361754863</v>
      </c>
      <c r="V90" s="23">
        <f t="shared" si="95"/>
        <v>-3.734425669909541</v>
      </c>
      <c r="W90" s="23">
        <f t="shared" si="95"/>
        <v>-3.1563239728734658</v>
      </c>
      <c r="X90" s="23"/>
      <c r="Y90" s="20">
        <v>1182</v>
      </c>
      <c r="Z90" s="10">
        <f t="shared" si="96"/>
        <v>180.8223350253807</v>
      </c>
      <c r="AA90" s="20">
        <v>213732</v>
      </c>
      <c r="AB90" s="20">
        <v>206622</v>
      </c>
      <c r="AC90" s="23">
        <f t="shared" si="91"/>
        <v>-7.14846818538885</v>
      </c>
      <c r="AD90" s="23">
        <f t="shared" si="91"/>
        <v>2.0295523595393945</v>
      </c>
      <c r="AE90" s="23">
        <f t="shared" si="91"/>
        <v>-5.263997730576932</v>
      </c>
      <c r="AF90" s="23">
        <f t="shared" si="91"/>
        <v>-5.245345317802446</v>
      </c>
      <c r="AG90" s="23"/>
      <c r="AH90" s="20">
        <v>986</v>
      </c>
      <c r="AI90" s="10">
        <f t="shared" si="100"/>
        <v>209.40973630831644</v>
      </c>
      <c r="AJ90" s="20">
        <v>206478</v>
      </c>
      <c r="AK90" s="20">
        <v>202986</v>
      </c>
      <c r="AL90" s="23">
        <f t="shared" si="55"/>
        <v>-16.582064297800343</v>
      </c>
      <c r="AM90" s="23">
        <f t="shared" si="55"/>
        <v>15.809662716125814</v>
      </c>
      <c r="AN90" s="23">
        <f t="shared" si="55"/>
        <v>-3.393970018527881</v>
      </c>
      <c r="AO90" s="23">
        <f t="shared" si="55"/>
        <v>-1.759735168568696</v>
      </c>
      <c r="AP90" s="23"/>
      <c r="AQ90" s="20">
        <v>976</v>
      </c>
      <c r="AR90" s="10">
        <f>AS90/AQ90</f>
        <v>213.00614754098362</v>
      </c>
      <c r="AS90" s="20">
        <v>207894</v>
      </c>
      <c r="AT90" s="20">
        <v>204496</v>
      </c>
      <c r="AU90" s="23">
        <f t="shared" si="74"/>
        <v>-1.0141987829614578</v>
      </c>
      <c r="AV90" s="23">
        <f t="shared" si="75"/>
        <v>1.7174040214501503</v>
      </c>
      <c r="AW90" s="23">
        <f t="shared" si="76"/>
        <v>0.6857873478046059</v>
      </c>
      <c r="AX90" s="23">
        <f t="shared" si="77"/>
        <v>-0.9599085616869587</v>
      </c>
      <c r="AY90" s="23"/>
      <c r="AZ90" s="20">
        <v>1064</v>
      </c>
      <c r="BA90" s="10">
        <f>BB90/AZ90</f>
        <v>214.07424812030075</v>
      </c>
      <c r="BB90" s="20">
        <v>227775</v>
      </c>
      <c r="BC90" s="20">
        <v>223090</v>
      </c>
      <c r="BD90" s="23">
        <f t="shared" si="59"/>
        <v>9.016393442622956</v>
      </c>
      <c r="BE90" s="23">
        <f t="shared" si="60"/>
        <v>0.5014411985981013</v>
      </c>
      <c r="BF90" s="23">
        <f t="shared" si="61"/>
        <v>9.563046552570057</v>
      </c>
      <c r="BG90" s="23">
        <f t="shared" si="97"/>
        <v>7.309494261498642</v>
      </c>
      <c r="BH90" s="23"/>
      <c r="BI90" s="20">
        <v>1133</v>
      </c>
      <c r="BJ90" s="10">
        <f>BK90/BI90</f>
        <v>210.70962047661078</v>
      </c>
      <c r="BK90" s="20">
        <v>238734</v>
      </c>
      <c r="BL90" s="20">
        <v>233601</v>
      </c>
      <c r="BM90" s="23">
        <f t="shared" si="62"/>
        <v>6.484962406015043</v>
      </c>
      <c r="BN90" s="23">
        <f t="shared" si="63"/>
        <v>-1.571710597249961</v>
      </c>
      <c r="BO90" s="23">
        <f t="shared" si="64"/>
        <v>4.811326967402039</v>
      </c>
      <c r="BP90" s="23">
        <f t="shared" si="98"/>
        <v>2.5577872900889105</v>
      </c>
      <c r="BQ90" s="23"/>
      <c r="BR90" s="20">
        <v>1188</v>
      </c>
      <c r="BS90" s="10">
        <f>BT90/BR90</f>
        <v>202.260101010101</v>
      </c>
      <c r="BT90" s="20">
        <v>240285</v>
      </c>
      <c r="BU90" s="20">
        <v>236255</v>
      </c>
      <c r="BV90" s="23">
        <f t="shared" si="65"/>
        <v>4.854368932038838</v>
      </c>
      <c r="BW90" s="23">
        <f t="shared" si="66"/>
        <v>-4.010030224247714</v>
      </c>
      <c r="BX90" s="23">
        <f t="shared" si="67"/>
        <v>0.6496770464198676</v>
      </c>
      <c r="BY90" s="23">
        <f t="shared" si="99"/>
        <v>-1.038394196050831</v>
      </c>
      <c r="BZ90" s="20"/>
      <c r="CA90" s="10" t="e">
        <f>CB90/BZ90</f>
        <v>#DIV/0!</v>
      </c>
      <c r="CB90" s="20"/>
      <c r="CC90" s="20"/>
      <c r="CD90" s="23">
        <f t="shared" si="68"/>
        <v>-100</v>
      </c>
      <c r="CE90" s="23" t="e">
        <f t="shared" si="69"/>
        <v>#DIV/0!</v>
      </c>
      <c r="CF90" s="23">
        <f t="shared" si="70"/>
        <v>-100</v>
      </c>
      <c r="CG90" s="23">
        <f t="shared" si="71"/>
        <v>-100</v>
      </c>
    </row>
    <row r="91" spans="1:85" ht="12">
      <c r="A91" s="1" t="s">
        <v>87</v>
      </c>
      <c r="B91" s="22">
        <v>87.86</v>
      </c>
      <c r="C91" s="10">
        <f t="shared" si="92"/>
        <v>226.98611427270657</v>
      </c>
      <c r="D91" s="11">
        <v>19943</v>
      </c>
      <c r="E91" s="11">
        <v>19641</v>
      </c>
      <c r="F91" s="8"/>
      <c r="G91" s="22">
        <v>89.62</v>
      </c>
      <c r="H91" s="10">
        <f t="shared" si="93"/>
        <v>293.4278062932381</v>
      </c>
      <c r="I91" s="11">
        <v>26297</v>
      </c>
      <c r="J91" s="11">
        <v>24822</v>
      </c>
      <c r="K91" s="23">
        <f t="shared" si="87"/>
        <v>2.0031868882312835</v>
      </c>
      <c r="L91" s="23">
        <f t="shared" si="88"/>
        <v>29.271258391033967</v>
      </c>
      <c r="M91" s="23">
        <f t="shared" si="89"/>
        <v>31.86080328937473</v>
      </c>
      <c r="N91" s="23">
        <f t="shared" si="90"/>
        <v>26.378493966702308</v>
      </c>
      <c r="O91" s="23"/>
      <c r="P91" s="22">
        <v>143.2</v>
      </c>
      <c r="Q91" s="10">
        <f t="shared" si="94"/>
        <v>206.57122905027936</v>
      </c>
      <c r="R91" s="11">
        <v>29581</v>
      </c>
      <c r="S91" s="11">
        <v>28720</v>
      </c>
      <c r="T91" s="23">
        <f t="shared" si="95"/>
        <v>59.78576210667259</v>
      </c>
      <c r="U91" s="23">
        <f t="shared" si="95"/>
        <v>-29.600663393215825</v>
      </c>
      <c r="V91" s="23">
        <f t="shared" si="95"/>
        <v>12.488116515191848</v>
      </c>
      <c r="W91" s="23">
        <f t="shared" si="95"/>
        <v>15.703811135283217</v>
      </c>
      <c r="X91" s="23"/>
      <c r="Y91" s="22">
        <v>111.05</v>
      </c>
      <c r="Z91" s="10">
        <f t="shared" si="96"/>
        <v>232.6249437190455</v>
      </c>
      <c r="AA91" s="20">
        <v>25833</v>
      </c>
      <c r="AB91" s="20">
        <v>25570</v>
      </c>
      <c r="AC91" s="23">
        <f t="shared" si="91"/>
        <v>-22.45111731843575</v>
      </c>
      <c r="AD91" s="23">
        <f t="shared" si="91"/>
        <v>12.61246050021063</v>
      </c>
      <c r="AE91" s="23">
        <f t="shared" si="91"/>
        <v>-12.670295121868762</v>
      </c>
      <c r="AF91" s="23">
        <f t="shared" si="91"/>
        <v>-10.967966573816156</v>
      </c>
      <c r="AG91" s="23"/>
      <c r="AH91" s="22">
        <v>140.97</v>
      </c>
      <c r="AI91" s="10">
        <f t="shared" si="100"/>
        <v>254.72086259487835</v>
      </c>
      <c r="AJ91" s="20">
        <v>35908</v>
      </c>
      <c r="AK91" s="20">
        <v>35514</v>
      </c>
      <c r="AL91" s="23">
        <f t="shared" si="55"/>
        <v>26.942818550202617</v>
      </c>
      <c r="AM91" s="23">
        <f t="shared" si="55"/>
        <v>9.49851659180598</v>
      </c>
      <c r="AN91" s="23">
        <f t="shared" si="55"/>
        <v>39.000503232299764</v>
      </c>
      <c r="AO91" s="23">
        <f t="shared" si="55"/>
        <v>38.88932342588973</v>
      </c>
      <c r="AP91" s="23"/>
      <c r="AQ91" s="22">
        <v>105.72</v>
      </c>
      <c r="AR91" s="10">
        <f>AS91/AQ91</f>
        <v>267.6503972758229</v>
      </c>
      <c r="AS91" s="20">
        <v>28296</v>
      </c>
      <c r="AT91" s="20">
        <v>27976</v>
      </c>
      <c r="AU91" s="23">
        <f t="shared" si="74"/>
        <v>-25.005320280910837</v>
      </c>
      <c r="AV91" s="23">
        <f t="shared" si="75"/>
        <v>5.075962192193259</v>
      </c>
      <c r="AW91" s="23">
        <f t="shared" si="76"/>
        <v>-21.19861869221343</v>
      </c>
      <c r="AX91" s="23">
        <f t="shared" si="77"/>
        <v>-22.089785006126775</v>
      </c>
      <c r="AY91" s="23"/>
      <c r="AZ91" s="22">
        <v>98.26</v>
      </c>
      <c r="BA91" s="10">
        <f>BB91/AZ91</f>
        <v>221.49399552208425</v>
      </c>
      <c r="BB91" s="20">
        <v>21764</v>
      </c>
      <c r="BC91" s="20">
        <v>21512</v>
      </c>
      <c r="BD91" s="23">
        <f t="shared" si="59"/>
        <v>-7.05637533106318</v>
      </c>
      <c r="BE91" s="23">
        <f t="shared" si="60"/>
        <v>-17.24503390375054</v>
      </c>
      <c r="BF91" s="23">
        <f t="shared" si="61"/>
        <v>-23.084534916595985</v>
      </c>
      <c r="BG91" s="23">
        <f t="shared" si="97"/>
        <v>-23.975120158326263</v>
      </c>
      <c r="BH91" s="23"/>
      <c r="BI91" s="22">
        <v>91.89</v>
      </c>
      <c r="BJ91" s="10">
        <f>BK91/BI91</f>
        <v>230.37327239090217</v>
      </c>
      <c r="BK91" s="20">
        <v>21169</v>
      </c>
      <c r="BL91" s="20">
        <v>20891</v>
      </c>
      <c r="BM91" s="23">
        <f t="shared" si="62"/>
        <v>-6.482800732749851</v>
      </c>
      <c r="BN91" s="23">
        <f t="shared" si="63"/>
        <v>4.008811547188245</v>
      </c>
      <c r="BO91" s="23">
        <f t="shared" si="64"/>
        <v>-2.7338724499172997</v>
      </c>
      <c r="BP91" s="23">
        <f t="shared" si="98"/>
        <v>-4.011211174416474</v>
      </c>
      <c r="BQ91" s="23"/>
      <c r="BR91" s="22">
        <v>68.02</v>
      </c>
      <c r="BS91" s="10">
        <f>BT91/BR91</f>
        <v>261.2172890326375</v>
      </c>
      <c r="BT91" s="20">
        <v>17768</v>
      </c>
      <c r="BU91" s="20">
        <v>17583</v>
      </c>
      <c r="BV91" s="23">
        <f t="shared" si="65"/>
        <v>-25.97671128523234</v>
      </c>
      <c r="BW91" s="23">
        <f t="shared" si="66"/>
        <v>13.388713161741506</v>
      </c>
      <c r="BX91" s="23">
        <f t="shared" si="67"/>
        <v>-16.06594548632434</v>
      </c>
      <c r="BY91" s="23">
        <f t="shared" si="99"/>
        <v>-16.939864896783035</v>
      </c>
      <c r="BZ91" s="22"/>
      <c r="CA91" s="10" t="e">
        <f>CB91/BZ91</f>
        <v>#DIV/0!</v>
      </c>
      <c r="CB91" s="20"/>
      <c r="CC91" s="20"/>
      <c r="CD91" s="23">
        <f t="shared" si="68"/>
        <v>-100</v>
      </c>
      <c r="CE91" s="23" t="e">
        <f t="shared" si="69"/>
        <v>#DIV/0!</v>
      </c>
      <c r="CF91" s="23">
        <f t="shared" si="70"/>
        <v>-100</v>
      </c>
      <c r="CG91" s="23">
        <f t="shared" si="71"/>
        <v>-100</v>
      </c>
    </row>
    <row r="92" spans="1:85" ht="12">
      <c r="A92" s="1" t="s">
        <v>88</v>
      </c>
      <c r="B92" s="19">
        <f>B90+B91</f>
        <v>1465.86</v>
      </c>
      <c r="C92" s="10">
        <f t="shared" si="92"/>
        <v>181.15031449115196</v>
      </c>
      <c r="D92" s="9">
        <f>D91+D90</f>
        <v>265541</v>
      </c>
      <c r="E92" s="9">
        <f>E91+E90</f>
        <v>253753</v>
      </c>
      <c r="F92" s="8"/>
      <c r="G92" s="19">
        <f>G90+G91</f>
        <v>1400.62</v>
      </c>
      <c r="H92" s="10">
        <f t="shared" si="93"/>
        <v>186.10115520269596</v>
      </c>
      <c r="I92" s="9">
        <f>I91+I90</f>
        <v>260657</v>
      </c>
      <c r="J92" s="9">
        <f>J91+J90</f>
        <v>249989</v>
      </c>
      <c r="K92" s="23">
        <f t="shared" si="87"/>
        <v>-4.450629664497285</v>
      </c>
      <c r="L92" s="23">
        <f t="shared" si="88"/>
        <v>2.7330014443810455</v>
      </c>
      <c r="M92" s="23">
        <f t="shared" si="89"/>
        <v>-1.8392639931309986</v>
      </c>
      <c r="N92" s="23">
        <f t="shared" si="90"/>
        <v>-1.4833322167619656</v>
      </c>
      <c r="O92" s="23"/>
      <c r="P92" s="19">
        <f>P90+P91</f>
        <v>1416.2</v>
      </c>
      <c r="Q92" s="10">
        <f t="shared" si="94"/>
        <v>180.19276938285552</v>
      </c>
      <c r="R92" s="9">
        <f>R91+R90</f>
        <v>255189</v>
      </c>
      <c r="S92" s="9">
        <f>S91+S90</f>
        <v>246780</v>
      </c>
      <c r="T92" s="23">
        <f t="shared" si="95"/>
        <v>1.112364524282114</v>
      </c>
      <c r="U92" s="23">
        <f t="shared" si="95"/>
        <v>-3.17482490283588</v>
      </c>
      <c r="V92" s="23">
        <f t="shared" si="95"/>
        <v>-2.097776004480991</v>
      </c>
      <c r="W92" s="23">
        <f>S92*100/J92-100</f>
        <v>-1.2836564808851563</v>
      </c>
      <c r="X92" s="23"/>
      <c r="Y92" s="19">
        <f>Y90+Y91</f>
        <v>1293.05</v>
      </c>
      <c r="Z92" s="10">
        <f t="shared" si="96"/>
        <v>185.271257878659</v>
      </c>
      <c r="AA92" s="19">
        <f>AA90+AA91</f>
        <v>239565</v>
      </c>
      <c r="AB92" s="19">
        <f>AB90+AB91</f>
        <v>232192</v>
      </c>
      <c r="AC92" s="23">
        <f t="shared" si="91"/>
        <v>-8.695805677164245</v>
      </c>
      <c r="AD92" s="23">
        <f t="shared" si="91"/>
        <v>2.8183641958536043</v>
      </c>
      <c r="AE92" s="23">
        <f t="shared" si="91"/>
        <v>-6.122520955056842</v>
      </c>
      <c r="AF92" s="23">
        <f t="shared" si="91"/>
        <v>-5.9113380338763335</v>
      </c>
      <c r="AG92" s="23"/>
      <c r="AH92" s="19">
        <f>AH90+AH91</f>
        <v>1126.97</v>
      </c>
      <c r="AI92" s="10">
        <f t="shared" si="100"/>
        <v>215.0775974515737</v>
      </c>
      <c r="AJ92" s="19">
        <f>AJ90+AJ91</f>
        <v>242386</v>
      </c>
      <c r="AK92" s="19">
        <f>AK90+AK91</f>
        <v>238500</v>
      </c>
      <c r="AL92" s="23">
        <f t="shared" si="55"/>
        <v>-12.84405088743668</v>
      </c>
      <c r="AM92" s="23">
        <f t="shared" si="55"/>
        <v>16.087945812100003</v>
      </c>
      <c r="AN92" s="23">
        <f t="shared" si="55"/>
        <v>1.1775509778139508</v>
      </c>
      <c r="AO92" s="23">
        <f>AK92*100/AB92-100</f>
        <v>2.7167171995589854</v>
      </c>
      <c r="AP92" s="23"/>
      <c r="AQ92" s="19">
        <f>AQ90+AQ91</f>
        <v>1081.72</v>
      </c>
      <c r="AR92" s="6" t="s">
        <v>1</v>
      </c>
      <c r="AS92" s="19">
        <f>AS90+AS91</f>
        <v>236190</v>
      </c>
      <c r="AT92" s="19">
        <f>AT90+AT91</f>
        <v>232472</v>
      </c>
      <c r="AU92" s="23">
        <f t="shared" si="74"/>
        <v>-4.015191176340096</v>
      </c>
      <c r="AV92" s="23" t="e">
        <f t="shared" si="75"/>
        <v>#VALUE!</v>
      </c>
      <c r="AW92" s="23">
        <f t="shared" si="76"/>
        <v>-2.5562532489500285</v>
      </c>
      <c r="AX92" s="23">
        <f t="shared" si="77"/>
        <v>-4.090170224352889</v>
      </c>
      <c r="AY92" s="23"/>
      <c r="AZ92" s="19">
        <f>AZ90+AZ91</f>
        <v>1162.26</v>
      </c>
      <c r="BA92" s="6" t="s">
        <v>1</v>
      </c>
      <c r="BB92" s="19">
        <f>BB90+BB91</f>
        <v>249539</v>
      </c>
      <c r="BC92" s="19">
        <f>BC90+BC91</f>
        <v>244602</v>
      </c>
      <c r="BD92" s="23">
        <f t="shared" si="59"/>
        <v>7.445549680139038</v>
      </c>
      <c r="BE92" s="23" t="e">
        <f t="shared" si="60"/>
        <v>#VALUE!</v>
      </c>
      <c r="BF92" s="23">
        <f t="shared" si="61"/>
        <v>5.651805749608371</v>
      </c>
      <c r="BG92" s="23">
        <f t="shared" si="97"/>
        <v>3.561539438587573</v>
      </c>
      <c r="BH92" s="23"/>
      <c r="BI92" s="19">
        <f>BI90+BI91</f>
        <v>1224.89</v>
      </c>
      <c r="BJ92" s="6" t="s">
        <v>1</v>
      </c>
      <c r="BK92" s="19">
        <f>BK90+BK91</f>
        <v>259903</v>
      </c>
      <c r="BL92" s="19">
        <f>BL90+BL91</f>
        <v>254492</v>
      </c>
      <c r="BM92" s="23">
        <f t="shared" si="62"/>
        <v>5.388639375010769</v>
      </c>
      <c r="BN92" s="23" t="e">
        <f t="shared" si="63"/>
        <v>#VALUE!</v>
      </c>
      <c r="BO92" s="23">
        <f t="shared" si="64"/>
        <v>4.153258608874765</v>
      </c>
      <c r="BP92" s="23">
        <f t="shared" si="98"/>
        <v>1.9848600819911866</v>
      </c>
      <c r="BQ92" s="23"/>
      <c r="BR92" s="19">
        <f>BR90+BR91</f>
        <v>1256.02</v>
      </c>
      <c r="BS92" s="6" t="s">
        <v>1</v>
      </c>
      <c r="BT92" s="19">
        <f>BT90+BT91</f>
        <v>258053</v>
      </c>
      <c r="BU92" s="19">
        <f>BU90+BU91</f>
        <v>253838</v>
      </c>
      <c r="BV92" s="23">
        <f t="shared" si="65"/>
        <v>2.541452701875258</v>
      </c>
      <c r="BW92" s="23" t="e">
        <f t="shared" si="66"/>
        <v>#VALUE!</v>
      </c>
      <c r="BX92" s="23">
        <f t="shared" si="67"/>
        <v>-0.7118040191917743</v>
      </c>
      <c r="BY92" s="23">
        <f t="shared" si="99"/>
        <v>-2.3335629061611485</v>
      </c>
      <c r="BZ92" s="19">
        <f>BZ90+BZ91</f>
        <v>0</v>
      </c>
      <c r="CA92" s="6" t="s">
        <v>1</v>
      </c>
      <c r="CB92" s="19">
        <f>CB90+CB91</f>
        <v>0</v>
      </c>
      <c r="CC92" s="19">
        <f>CC90+CC91</f>
        <v>0</v>
      </c>
      <c r="CD92" s="23">
        <f t="shared" si="68"/>
        <v>-100</v>
      </c>
      <c r="CE92" s="23" t="e">
        <f t="shared" si="69"/>
        <v>#VALUE!</v>
      </c>
      <c r="CF92" s="23">
        <f t="shared" si="70"/>
        <v>-100</v>
      </c>
      <c r="CG92" s="23">
        <f t="shared" si="71"/>
        <v>-100</v>
      </c>
    </row>
    <row r="93" spans="1:85" ht="12">
      <c r="A93" s="1" t="s">
        <v>89</v>
      </c>
      <c r="B93" s="20">
        <v>15199</v>
      </c>
      <c r="C93" s="10">
        <f t="shared" si="92"/>
        <v>161.5052306072768</v>
      </c>
      <c r="D93" s="11">
        <v>2454718</v>
      </c>
      <c r="E93" s="11">
        <v>2349056</v>
      </c>
      <c r="F93" s="8"/>
      <c r="G93" s="20">
        <v>13375</v>
      </c>
      <c r="H93" s="10">
        <f t="shared" si="93"/>
        <v>164.40792523364485</v>
      </c>
      <c r="I93" s="11">
        <v>2198956</v>
      </c>
      <c r="J93" s="11">
        <v>2106343</v>
      </c>
      <c r="K93" s="23">
        <f t="shared" si="87"/>
        <v>-12.000789525626686</v>
      </c>
      <c r="L93" s="23">
        <f t="shared" si="88"/>
        <v>1.7972759244103855</v>
      </c>
      <c r="M93" s="23">
        <f t="shared" si="89"/>
        <v>-10.419200902099547</v>
      </c>
      <c r="N93" s="23">
        <f t="shared" si="90"/>
        <v>-10.33236329827811</v>
      </c>
      <c r="O93" s="23"/>
      <c r="P93" s="20">
        <v>15375</v>
      </c>
      <c r="Q93" s="10">
        <f t="shared" si="94"/>
        <v>167.1068617886179</v>
      </c>
      <c r="R93" s="11">
        <v>2569268</v>
      </c>
      <c r="S93" s="11">
        <v>2470930</v>
      </c>
      <c r="T93" s="23">
        <f t="shared" si="95"/>
        <v>14.953271028037378</v>
      </c>
      <c r="U93" s="23">
        <f t="shared" si="95"/>
        <v>1.6416097649413928</v>
      </c>
      <c r="V93" s="23">
        <f t="shared" si="95"/>
        <v>16.84035515035316</v>
      </c>
      <c r="W93" s="23">
        <f t="shared" si="95"/>
        <v>17.309004278980197</v>
      </c>
      <c r="X93" s="23"/>
      <c r="Y93" s="20">
        <v>15163</v>
      </c>
      <c r="Z93" s="10">
        <f t="shared" si="96"/>
        <v>167.81804392270658</v>
      </c>
      <c r="AA93" s="20">
        <v>2544625</v>
      </c>
      <c r="AB93" s="20">
        <v>2487336</v>
      </c>
      <c r="AC93" s="23">
        <f t="shared" si="91"/>
        <v>-1.3788617886178827</v>
      </c>
      <c r="AD93" s="23">
        <f t="shared" si="91"/>
        <v>0.42558523718091124</v>
      </c>
      <c r="AE93" s="23">
        <f t="shared" si="91"/>
        <v>-0.9591447836504443</v>
      </c>
      <c r="AF93" s="23">
        <f t="shared" si="91"/>
        <v>0.6639605330786367</v>
      </c>
      <c r="AG93" s="23"/>
      <c r="AH93" s="20">
        <v>14665</v>
      </c>
      <c r="AI93" s="10">
        <f t="shared" si="100"/>
        <v>170.35349471530856</v>
      </c>
      <c r="AJ93" s="20">
        <v>2498234</v>
      </c>
      <c r="AK93" s="20">
        <v>2445724</v>
      </c>
      <c r="AL93" s="23">
        <f aca="true" t="shared" si="101" ref="AL93:AO119">AH93*100/Y93-100</f>
        <v>-3.2843104926465685</v>
      </c>
      <c r="AM93" s="23">
        <f t="shared" si="101"/>
        <v>1.5108332413704915</v>
      </c>
      <c r="AN93" s="23">
        <f t="shared" si="101"/>
        <v>-1.8230977059488112</v>
      </c>
      <c r="AO93" s="23">
        <f t="shared" si="101"/>
        <v>-1.6729545184084458</v>
      </c>
      <c r="AP93" s="23"/>
      <c r="AQ93" s="20">
        <v>13994</v>
      </c>
      <c r="AR93" s="10">
        <f>AS93/AQ93</f>
        <v>168.3227811919394</v>
      </c>
      <c r="AS93" s="20">
        <v>2355509</v>
      </c>
      <c r="AT93" s="20">
        <v>2259745</v>
      </c>
      <c r="AU93" s="23">
        <f t="shared" si="74"/>
        <v>-4.575519945448349</v>
      </c>
      <c r="AV93" s="23">
        <f t="shared" si="75"/>
        <v>-1.1920586230196335</v>
      </c>
      <c r="AW93" s="23">
        <f t="shared" si="76"/>
        <v>-5.713035688410287</v>
      </c>
      <c r="AX93" s="23">
        <f t="shared" si="77"/>
        <v>-9.546303508798616</v>
      </c>
      <c r="AY93" s="23"/>
      <c r="AZ93" s="20">
        <v>15430</v>
      </c>
      <c r="BA93" s="10">
        <f>BB93/AZ93</f>
        <v>164.8556059624109</v>
      </c>
      <c r="BB93" s="20">
        <v>2543722</v>
      </c>
      <c r="BC93" s="20">
        <v>2395763</v>
      </c>
      <c r="BD93" s="23">
        <f aca="true" t="shared" si="102" ref="BD93:BD116">AZ93*100/AQ93-100</f>
        <v>10.261540660282975</v>
      </c>
      <c r="BE93" s="23">
        <f aca="true" t="shared" si="103" ref="BE93:BE116">BA93*100/AR93-100</f>
        <v>-2.059837180075405</v>
      </c>
      <c r="BF93" s="23">
        <f aca="true" t="shared" si="104" ref="BF93:BF116">BB93*100/AS93-100</f>
        <v>7.99033245043853</v>
      </c>
      <c r="BG93" s="23">
        <f t="shared" si="97"/>
        <v>1.708930001965598</v>
      </c>
      <c r="BH93" s="23"/>
      <c r="BI93" s="20">
        <v>12977</v>
      </c>
      <c r="BJ93" s="10">
        <f>BK93/BI93</f>
        <v>170.82808045002696</v>
      </c>
      <c r="BK93" s="20">
        <v>2216836</v>
      </c>
      <c r="BL93" s="20">
        <v>2171965</v>
      </c>
      <c r="BM93" s="23">
        <f aca="true" t="shared" si="105" ref="BM93:BM116">BI93*100/AZ93-100</f>
        <v>-15.897602073882041</v>
      </c>
      <c r="BN93" s="23">
        <f aca="true" t="shared" si="106" ref="BN93:BN116">BJ93*100/BA93-100</f>
        <v>3.622851921079274</v>
      </c>
      <c r="BO93" s="23">
        <f aca="true" t="shared" si="107" ref="BO93:BO116">BK93*100/BB93-100</f>
        <v>-12.850696734941948</v>
      </c>
      <c r="BP93" s="23">
        <f t="shared" si="98"/>
        <v>-14.614686667804108</v>
      </c>
      <c r="BQ93" s="23"/>
      <c r="BR93" s="20">
        <v>12911</v>
      </c>
      <c r="BS93" s="10">
        <f>BT93/BR93</f>
        <v>194.72589264967857</v>
      </c>
      <c r="BT93" s="20">
        <v>2514106</v>
      </c>
      <c r="BU93" s="20">
        <v>2445357</v>
      </c>
      <c r="BV93" s="23">
        <f aca="true" t="shared" si="108" ref="BV93:BV116">BR93*100/BI93-100</f>
        <v>-0.5085921245280076</v>
      </c>
      <c r="BW93" s="23">
        <f aca="true" t="shared" si="109" ref="BW93:BW116">BS93*100/BJ93-100</f>
        <v>13.9893933928752</v>
      </c>
      <c r="BX93" s="23">
        <f aca="true" t="shared" si="110" ref="BX93:BX116">BT93*100/BK93-100</f>
        <v>13.409652315281775</v>
      </c>
      <c r="BY93" s="23">
        <f t="shared" si="99"/>
        <v>10.308430574025323</v>
      </c>
      <c r="BZ93" s="20">
        <v>7576</v>
      </c>
      <c r="CA93" s="10">
        <f>CB93/BZ93</f>
        <v>209.509767687434</v>
      </c>
      <c r="CB93" s="20">
        <v>1587246</v>
      </c>
      <c r="CC93" s="20">
        <v>1536659</v>
      </c>
      <c r="CD93" s="23">
        <f t="shared" si="68"/>
        <v>-41.32135388428472</v>
      </c>
      <c r="CE93" s="23">
        <f aca="true" t="shared" si="111" ref="CE93:CE116">CA93*100/BS93-100</f>
        <v>7.592146497103158</v>
      </c>
      <c r="CF93" s="23">
        <f aca="true" t="shared" si="112" ref="CF93:CF116">CB93*100/BT93-100</f>
        <v>-36.86638510866288</v>
      </c>
      <c r="CG93" s="23">
        <f aca="true" t="shared" si="113" ref="CG93:CG116">CC93*100/BU93-100</f>
        <v>-37.160136536301245</v>
      </c>
    </row>
    <row r="94" spans="1:85" ht="12">
      <c r="A94" s="1" t="s">
        <v>90</v>
      </c>
      <c r="B94" s="22">
        <v>252.85</v>
      </c>
      <c r="C94" s="10">
        <f t="shared" si="92"/>
        <v>280.81471228000794</v>
      </c>
      <c r="D94" s="11">
        <v>71004</v>
      </c>
      <c r="E94" s="11">
        <v>69558</v>
      </c>
      <c r="F94" s="8"/>
      <c r="G94" s="22">
        <v>209.48</v>
      </c>
      <c r="H94" s="10">
        <f t="shared" si="93"/>
        <v>320.8373114378461</v>
      </c>
      <c r="I94" s="11">
        <v>67209</v>
      </c>
      <c r="J94" s="11">
        <v>65214</v>
      </c>
      <c r="K94" s="23">
        <f t="shared" si="87"/>
        <v>-17.152461933952935</v>
      </c>
      <c r="L94" s="23">
        <f t="shared" si="88"/>
        <v>14.25231564004757</v>
      </c>
      <c r="M94" s="23">
        <f t="shared" si="89"/>
        <v>-5.344769308771333</v>
      </c>
      <c r="N94" s="23">
        <f t="shared" si="90"/>
        <v>-6.245147934098156</v>
      </c>
      <c r="O94" s="23"/>
      <c r="P94" s="22">
        <v>234.65</v>
      </c>
      <c r="Q94" s="10">
        <f t="shared" si="94"/>
        <v>283.3070530577456</v>
      </c>
      <c r="R94" s="11">
        <v>66478</v>
      </c>
      <c r="S94" s="11">
        <v>64610</v>
      </c>
      <c r="T94" s="23">
        <f t="shared" si="95"/>
        <v>12.01546687034562</v>
      </c>
      <c r="U94" s="23">
        <f t="shared" si="95"/>
        <v>-11.697597829849357</v>
      </c>
      <c r="V94" s="23">
        <f t="shared" si="95"/>
        <v>-1.0876519513755625</v>
      </c>
      <c r="W94" s="23">
        <f t="shared" si="95"/>
        <v>-0.9261814947710576</v>
      </c>
      <c r="X94" s="23"/>
      <c r="Y94" s="22">
        <v>245.62</v>
      </c>
      <c r="Z94" s="10">
        <f t="shared" si="96"/>
        <v>281.235241429851</v>
      </c>
      <c r="AA94" s="20">
        <v>69077</v>
      </c>
      <c r="AB94" s="20">
        <v>67418</v>
      </c>
      <c r="AC94" s="23">
        <f t="shared" si="91"/>
        <v>4.675047943746009</v>
      </c>
      <c r="AD94" s="23">
        <f t="shared" si="91"/>
        <v>-0.7312954638910156</v>
      </c>
      <c r="AE94" s="23">
        <f t="shared" si="91"/>
        <v>3.9095640663076523</v>
      </c>
      <c r="AF94" s="23">
        <f t="shared" si="91"/>
        <v>4.3460764587525205</v>
      </c>
      <c r="AG94" s="23"/>
      <c r="AH94" s="22">
        <v>251.95</v>
      </c>
      <c r="AI94" s="10">
        <f t="shared" si="100"/>
        <v>278.4322286167891</v>
      </c>
      <c r="AJ94" s="20">
        <v>70151</v>
      </c>
      <c r="AK94" s="20">
        <v>68387</v>
      </c>
      <c r="AL94" s="23">
        <f t="shared" si="101"/>
        <v>2.5771516977444833</v>
      </c>
      <c r="AM94" s="23">
        <f t="shared" si="101"/>
        <v>-0.9966790786285884</v>
      </c>
      <c r="AN94" s="23">
        <f t="shared" si="101"/>
        <v>1.5547866873199467</v>
      </c>
      <c r="AO94" s="23">
        <f t="shared" si="101"/>
        <v>1.4373016108457648</v>
      </c>
      <c r="AP94" s="23"/>
      <c r="AQ94" s="22">
        <v>230.95</v>
      </c>
      <c r="AR94" s="10">
        <f>AS94/AQ94</f>
        <v>299.7185537995237</v>
      </c>
      <c r="AS94" s="20">
        <v>69220</v>
      </c>
      <c r="AT94" s="20">
        <v>65795</v>
      </c>
      <c r="AU94" s="23">
        <f t="shared" si="74"/>
        <v>-8.334987100615194</v>
      </c>
      <c r="AV94" s="23">
        <f t="shared" si="75"/>
        <v>7.645065116377509</v>
      </c>
      <c r="AW94" s="23">
        <f t="shared" si="76"/>
        <v>-1.3271371755213721</v>
      </c>
      <c r="AX94" s="23">
        <f t="shared" si="77"/>
        <v>-6.20946244529658</v>
      </c>
      <c r="AY94" s="23"/>
      <c r="AZ94" s="22">
        <v>254.08</v>
      </c>
      <c r="BA94" s="10">
        <f>BB94/AZ94</f>
        <v>290.77455919395464</v>
      </c>
      <c r="BB94" s="20">
        <v>73880</v>
      </c>
      <c r="BC94" s="20">
        <v>71661</v>
      </c>
      <c r="BD94" s="23">
        <f t="shared" si="102"/>
        <v>10.015154795410268</v>
      </c>
      <c r="BE94" s="23">
        <f t="shared" si="103"/>
        <v>-2.9841311097315497</v>
      </c>
      <c r="BF94" s="23">
        <f t="shared" si="104"/>
        <v>6.7321583357411185</v>
      </c>
      <c r="BG94" s="23">
        <f t="shared" si="97"/>
        <v>3.526437445824911</v>
      </c>
      <c r="BH94" s="23"/>
      <c r="BI94" s="22">
        <v>238.58</v>
      </c>
      <c r="BJ94" s="10">
        <f>BK94/BI94</f>
        <v>312.98516220974096</v>
      </c>
      <c r="BK94" s="20">
        <v>74672</v>
      </c>
      <c r="BL94" s="20">
        <v>72348</v>
      </c>
      <c r="BM94" s="23">
        <f t="shared" si="105"/>
        <v>-6.1004408060453414</v>
      </c>
      <c r="BN94" s="23">
        <f t="shared" si="106"/>
        <v>7.638427198498903</v>
      </c>
      <c r="BO94" s="23">
        <f t="shared" si="107"/>
        <v>1.0720086626962626</v>
      </c>
      <c r="BP94" s="23">
        <f t="shared" si="98"/>
        <v>-2.0736329182458064</v>
      </c>
      <c r="BQ94" s="23"/>
      <c r="BR94" s="22">
        <v>212.92</v>
      </c>
      <c r="BS94" s="10">
        <f>BT94/BR94</f>
        <v>270.10144655269585</v>
      </c>
      <c r="BT94" s="20">
        <v>57510</v>
      </c>
      <c r="BU94" s="20">
        <v>55600</v>
      </c>
      <c r="BV94" s="23">
        <f t="shared" si="108"/>
        <v>-10.755302204711214</v>
      </c>
      <c r="BW94" s="23">
        <f t="shared" si="109"/>
        <v>-13.701517143585036</v>
      </c>
      <c r="BX94" s="23">
        <f t="shared" si="110"/>
        <v>-22.98317977287337</v>
      </c>
      <c r="BY94" s="23">
        <f t="shared" si="99"/>
        <v>-25.541032783372614</v>
      </c>
      <c r="BZ94" s="22"/>
      <c r="CA94" s="10" t="e">
        <f>CB94/BZ94</f>
        <v>#DIV/0!</v>
      </c>
      <c r="CB94" s="20"/>
      <c r="CC94" s="20"/>
      <c r="CD94" s="23">
        <f aca="true" t="shared" si="114" ref="CD94:CD116">BZ94*100/BR94-100</f>
        <v>-100</v>
      </c>
      <c r="CE94" s="23" t="e">
        <f t="shared" si="111"/>
        <v>#DIV/0!</v>
      </c>
      <c r="CF94" s="23">
        <f t="shared" si="112"/>
        <v>-100</v>
      </c>
      <c r="CG94" s="23">
        <f t="shared" si="113"/>
        <v>-100</v>
      </c>
    </row>
    <row r="95" spans="1:85" ht="12">
      <c r="A95" s="1" t="s">
        <v>91</v>
      </c>
      <c r="B95" s="19">
        <f>B93+B94</f>
        <v>15451.85</v>
      </c>
      <c r="C95" s="10">
        <f t="shared" si="92"/>
        <v>163.4575795131327</v>
      </c>
      <c r="D95" s="9">
        <f>D94+D93</f>
        <v>2525722</v>
      </c>
      <c r="E95" s="9">
        <f>E94+E93</f>
        <v>2418614</v>
      </c>
      <c r="F95" s="8"/>
      <c r="G95" s="19">
        <f>G93+G94</f>
        <v>13584.48</v>
      </c>
      <c r="H95" s="10">
        <f t="shared" si="93"/>
        <v>166.8201506424979</v>
      </c>
      <c r="I95" s="9">
        <f>I94+I93</f>
        <v>2266165</v>
      </c>
      <c r="J95" s="9">
        <f>J94+J93</f>
        <v>2171557</v>
      </c>
      <c r="K95" s="23">
        <f t="shared" si="87"/>
        <v>-12.085090134838225</v>
      </c>
      <c r="L95" s="23">
        <f t="shared" si="88"/>
        <v>2.057152161056578</v>
      </c>
      <c r="M95" s="23">
        <f t="shared" si="89"/>
        <v>-10.276546666656103</v>
      </c>
      <c r="N95" s="23">
        <f t="shared" si="90"/>
        <v>-10.214817246571798</v>
      </c>
      <c r="O95" s="23"/>
      <c r="P95" s="19">
        <f>P93+P94</f>
        <v>15609.65</v>
      </c>
      <c r="Q95" s="10">
        <f t="shared" si="94"/>
        <v>168.85362580198787</v>
      </c>
      <c r="R95" s="9">
        <f>R94+R93</f>
        <v>2635746</v>
      </c>
      <c r="S95" s="9">
        <f>S94+S93</f>
        <v>2535540</v>
      </c>
      <c r="T95" s="23">
        <f t="shared" si="95"/>
        <v>14.907968505235388</v>
      </c>
      <c r="U95" s="23">
        <f t="shared" si="95"/>
        <v>1.2189625483840842</v>
      </c>
      <c r="V95" s="23">
        <f t="shared" si="95"/>
        <v>16.308653606423192</v>
      </c>
      <c r="W95" s="23">
        <f t="shared" si="95"/>
        <v>16.761383652374775</v>
      </c>
      <c r="X95" s="23"/>
      <c r="Y95" s="19">
        <f>Y93+Y94</f>
        <v>15408.62</v>
      </c>
      <c r="Z95" s="10">
        <f t="shared" si="96"/>
        <v>169.62596261053878</v>
      </c>
      <c r="AA95" s="19">
        <f>AA93+AA94</f>
        <v>2613702</v>
      </c>
      <c r="AB95" s="19">
        <f>AB93+AB94</f>
        <v>2554754</v>
      </c>
      <c r="AC95" s="23">
        <f t="shared" si="91"/>
        <v>-1.2878571909043472</v>
      </c>
      <c r="AD95" s="23">
        <f t="shared" si="91"/>
        <v>0.45740019196070136</v>
      </c>
      <c r="AE95" s="23">
        <f t="shared" si="91"/>
        <v>-0.8363476602070108</v>
      </c>
      <c r="AF95" s="23">
        <f t="shared" si="91"/>
        <v>0.7577872958028706</v>
      </c>
      <c r="AG95" s="23"/>
      <c r="AH95" s="19">
        <f>AH93+AH94</f>
        <v>14916.95</v>
      </c>
      <c r="AI95" s="10">
        <f t="shared" si="100"/>
        <v>172.17896419844539</v>
      </c>
      <c r="AJ95" s="19">
        <f>AJ93+AJ94</f>
        <v>2568385</v>
      </c>
      <c r="AK95" s="19">
        <f>AK93+AK94</f>
        <v>2514111</v>
      </c>
      <c r="AL95" s="23">
        <f t="shared" si="101"/>
        <v>-3.190876275746959</v>
      </c>
      <c r="AM95" s="23">
        <f t="shared" si="101"/>
        <v>1.5050771406782246</v>
      </c>
      <c r="AN95" s="23">
        <f t="shared" si="101"/>
        <v>-1.73382428448231</v>
      </c>
      <c r="AO95" s="23">
        <f t="shared" si="101"/>
        <v>-1.5908772429752531</v>
      </c>
      <c r="AP95" s="23"/>
      <c r="AQ95" s="19">
        <f>AQ93+AQ94</f>
        <v>14224.95</v>
      </c>
      <c r="AR95" s="6" t="s">
        <v>1</v>
      </c>
      <c r="AS95" s="19">
        <f>AS93+AS94</f>
        <v>2424729</v>
      </c>
      <c r="AT95" s="19">
        <f>AT93+AT94</f>
        <v>2325540</v>
      </c>
      <c r="AU95" s="23">
        <f t="shared" si="74"/>
        <v>-4.639018029825138</v>
      </c>
      <c r="AV95" s="23" t="e">
        <f t="shared" si="75"/>
        <v>#VALUE!</v>
      </c>
      <c r="AW95" s="23">
        <f t="shared" si="76"/>
        <v>-5.593242446128599</v>
      </c>
      <c r="AX95" s="23">
        <f t="shared" si="77"/>
        <v>-9.455163458749368</v>
      </c>
      <c r="AY95" s="23"/>
      <c r="AZ95" s="19">
        <f>AZ93+AZ94</f>
        <v>15684.08</v>
      </c>
      <c r="BA95" s="6" t="s">
        <v>1</v>
      </c>
      <c r="BB95" s="19">
        <f>BB93+BB94</f>
        <v>2617602</v>
      </c>
      <c r="BC95" s="19">
        <f>BC93+BC94</f>
        <v>2467424</v>
      </c>
      <c r="BD95" s="23">
        <f t="shared" si="102"/>
        <v>10.257540448296822</v>
      </c>
      <c r="BE95" s="23" t="e">
        <f t="shared" si="103"/>
        <v>#VALUE!</v>
      </c>
      <c r="BF95" s="23">
        <f t="shared" si="104"/>
        <v>7.954414699539612</v>
      </c>
      <c r="BG95" s="23">
        <f t="shared" si="97"/>
        <v>1.7608153323526068</v>
      </c>
      <c r="BH95" s="23"/>
      <c r="BI95" s="19">
        <f>BI93+BI94</f>
        <v>13215.58</v>
      </c>
      <c r="BJ95" s="6" t="s">
        <v>1</v>
      </c>
      <c r="BK95" s="19">
        <f>BK93+BK94</f>
        <v>2291508</v>
      </c>
      <c r="BL95" s="19">
        <f>BL93+BL94</f>
        <v>2244313</v>
      </c>
      <c r="BM95" s="23">
        <f t="shared" si="105"/>
        <v>-15.738889370622957</v>
      </c>
      <c r="BN95" s="23" t="e">
        <f t="shared" si="106"/>
        <v>#VALUE!</v>
      </c>
      <c r="BO95" s="23">
        <f t="shared" si="107"/>
        <v>-12.457738036569353</v>
      </c>
      <c r="BP95" s="23">
        <f t="shared" si="98"/>
        <v>-14.260724128419824</v>
      </c>
      <c r="BQ95" s="23"/>
      <c r="BR95" s="19">
        <f>BR93+BR94</f>
        <v>13123.92</v>
      </c>
      <c r="BS95" s="6" t="s">
        <v>1</v>
      </c>
      <c r="BT95" s="19">
        <f>BT93+BT94</f>
        <v>2571616</v>
      </c>
      <c r="BU95" s="19">
        <f>BU93+BU94</f>
        <v>2500957</v>
      </c>
      <c r="BV95" s="23">
        <f t="shared" si="108"/>
        <v>-0.6935753103533813</v>
      </c>
      <c r="BW95" s="23" t="e">
        <f t="shared" si="109"/>
        <v>#VALUE!</v>
      </c>
      <c r="BX95" s="23">
        <f t="shared" si="110"/>
        <v>12.223740872822617</v>
      </c>
      <c r="BY95" s="23">
        <f t="shared" si="99"/>
        <v>9.140225563253537</v>
      </c>
      <c r="BZ95" s="19">
        <f>BZ93+BZ94</f>
        <v>7576</v>
      </c>
      <c r="CA95" s="6" t="s">
        <v>1</v>
      </c>
      <c r="CB95" s="19">
        <f>CB93+CB94</f>
        <v>1587246</v>
      </c>
      <c r="CC95" s="19">
        <f>CC93+CC94</f>
        <v>1536659</v>
      </c>
      <c r="CD95" s="23">
        <f t="shared" si="114"/>
        <v>-42.27334515906833</v>
      </c>
      <c r="CE95" s="23" t="e">
        <f t="shared" si="111"/>
        <v>#VALUE!</v>
      </c>
      <c r="CF95" s="23">
        <f t="shared" si="112"/>
        <v>-38.27826549531501</v>
      </c>
      <c r="CG95" s="23">
        <f t="shared" si="113"/>
        <v>-38.557160319029876</v>
      </c>
    </row>
    <row r="96" spans="1:85" ht="12">
      <c r="A96" s="1" t="s">
        <v>92</v>
      </c>
      <c r="B96" s="20">
        <v>797</v>
      </c>
      <c r="C96" s="10">
        <f t="shared" si="92"/>
        <v>187.25470514429108</v>
      </c>
      <c r="D96" s="11">
        <v>149242</v>
      </c>
      <c r="E96" s="11">
        <v>139380</v>
      </c>
      <c r="F96" s="8"/>
      <c r="G96" s="20">
        <v>821</v>
      </c>
      <c r="H96" s="10">
        <f t="shared" si="93"/>
        <v>195.52131546894032</v>
      </c>
      <c r="I96" s="11">
        <v>160523</v>
      </c>
      <c r="J96" s="11">
        <v>149177</v>
      </c>
      <c r="K96" s="23">
        <f t="shared" si="87"/>
        <v>3.0112923462986174</v>
      </c>
      <c r="L96" s="23">
        <f t="shared" si="88"/>
        <v>4.414634237510512</v>
      </c>
      <c r="M96" s="23">
        <f t="shared" si="89"/>
        <v>7.558864126720366</v>
      </c>
      <c r="N96" s="23">
        <f t="shared" si="90"/>
        <v>7.028985507246375</v>
      </c>
      <c r="O96" s="23"/>
      <c r="P96" s="20">
        <v>821</v>
      </c>
      <c r="Q96" s="10">
        <f t="shared" si="94"/>
        <v>198.0560292326431</v>
      </c>
      <c r="R96" s="11">
        <v>162604</v>
      </c>
      <c r="S96" s="11">
        <v>152117</v>
      </c>
      <c r="T96" s="23">
        <f t="shared" si="95"/>
        <v>0</v>
      </c>
      <c r="U96" s="23">
        <f t="shared" si="95"/>
        <v>1.2963874335764984</v>
      </c>
      <c r="V96" s="23">
        <f t="shared" si="95"/>
        <v>1.2963874335764984</v>
      </c>
      <c r="W96" s="23">
        <f t="shared" si="95"/>
        <v>1.9708131950635845</v>
      </c>
      <c r="X96" s="23"/>
      <c r="Y96" s="20">
        <v>850</v>
      </c>
      <c r="Z96" s="10">
        <f t="shared" si="96"/>
        <v>192.59529411764706</v>
      </c>
      <c r="AA96" s="20">
        <v>163706</v>
      </c>
      <c r="AB96" s="20">
        <v>151453</v>
      </c>
      <c r="AC96" s="23">
        <f t="shared" si="91"/>
        <v>3.532277710109625</v>
      </c>
      <c r="AD96" s="23">
        <f t="shared" si="91"/>
        <v>-2.757166815952715</v>
      </c>
      <c r="AE96" s="23">
        <f t="shared" si="91"/>
        <v>0.6777201052864683</v>
      </c>
      <c r="AF96" s="23">
        <f t="shared" si="91"/>
        <v>-0.4365061104281551</v>
      </c>
      <c r="AG96" s="23"/>
      <c r="AH96" s="20">
        <v>923</v>
      </c>
      <c r="AI96" s="10">
        <f t="shared" si="100"/>
        <v>174.62080173347778</v>
      </c>
      <c r="AJ96" s="20">
        <v>161175</v>
      </c>
      <c r="AK96" s="20">
        <v>152098</v>
      </c>
      <c r="AL96" s="23">
        <f t="shared" si="101"/>
        <v>8.588235294117652</v>
      </c>
      <c r="AM96" s="23">
        <f t="shared" si="101"/>
        <v>-9.33277859488588</v>
      </c>
      <c r="AN96" s="23">
        <f t="shared" si="101"/>
        <v>-1.5460642859760725</v>
      </c>
      <c r="AO96" s="23">
        <f t="shared" si="101"/>
        <v>0.42587469379940046</v>
      </c>
      <c r="AP96" s="23"/>
      <c r="AQ96" s="20">
        <v>424</v>
      </c>
      <c r="AR96" s="10">
        <f>AS96/AQ96</f>
        <v>253.12028301886792</v>
      </c>
      <c r="AS96" s="20">
        <v>107323</v>
      </c>
      <c r="AT96" s="20">
        <v>98868</v>
      </c>
      <c r="AU96" s="23">
        <f t="shared" si="74"/>
        <v>-54.062838569880824</v>
      </c>
      <c r="AV96" s="23">
        <f t="shared" si="75"/>
        <v>44.95425545302629</v>
      </c>
      <c r="AW96" s="23">
        <f t="shared" si="76"/>
        <v>-33.41212967271599</v>
      </c>
      <c r="AX96" s="23">
        <f t="shared" si="77"/>
        <v>-38.65798045602606</v>
      </c>
      <c r="AY96" s="23"/>
      <c r="AZ96" s="20">
        <v>567</v>
      </c>
      <c r="BA96" s="10">
        <f>BB96/AZ96</f>
        <v>221.663139329806</v>
      </c>
      <c r="BB96" s="20">
        <v>125683</v>
      </c>
      <c r="BC96" s="20">
        <v>117101</v>
      </c>
      <c r="BD96" s="23">
        <f t="shared" si="102"/>
        <v>33.726415094339615</v>
      </c>
      <c r="BE96" s="23">
        <f t="shared" si="103"/>
        <v>-12.427745147044206</v>
      </c>
      <c r="BF96" s="23">
        <f t="shared" si="104"/>
        <v>17.107237032136638</v>
      </c>
      <c r="BG96" s="23">
        <f t="shared" si="97"/>
        <v>9.110815016352504</v>
      </c>
      <c r="BH96" s="23"/>
      <c r="BI96" s="20">
        <v>613</v>
      </c>
      <c r="BJ96" s="10">
        <f>BK96/BI96</f>
        <v>221.40456769983686</v>
      </c>
      <c r="BK96" s="20">
        <v>135721</v>
      </c>
      <c r="BL96" s="20">
        <v>126971</v>
      </c>
      <c r="BM96" s="23">
        <f t="shared" si="105"/>
        <v>8.112874779541443</v>
      </c>
      <c r="BN96" s="23">
        <f t="shared" si="106"/>
        <v>-0.1166507118643807</v>
      </c>
      <c r="BO96" s="23">
        <f t="shared" si="107"/>
        <v>7.986760341494076</v>
      </c>
      <c r="BP96" s="23">
        <f t="shared" si="98"/>
        <v>1.0248004901219758</v>
      </c>
      <c r="BQ96" s="23"/>
      <c r="BR96" s="20">
        <v>599</v>
      </c>
      <c r="BS96" s="10">
        <f>BT96/BR96</f>
        <v>217.62771285475793</v>
      </c>
      <c r="BT96" s="20">
        <v>130359</v>
      </c>
      <c r="BU96" s="20">
        <v>121793</v>
      </c>
      <c r="BV96" s="23">
        <f t="shared" si="108"/>
        <v>-2.28384991843393</v>
      </c>
      <c r="BW96" s="23">
        <f t="shared" si="109"/>
        <v>-1.7058613037285255</v>
      </c>
      <c r="BX96" s="23">
        <f t="shared" si="110"/>
        <v>-3.9507519101686484</v>
      </c>
      <c r="BY96" s="23">
        <f t="shared" si="99"/>
        <v>-10.262229131821897</v>
      </c>
      <c r="BZ96" s="20"/>
      <c r="CA96" s="10" t="e">
        <f>CB96/BZ96</f>
        <v>#DIV/0!</v>
      </c>
      <c r="CB96" s="20"/>
      <c r="CC96" s="20"/>
      <c r="CD96" s="23">
        <f t="shared" si="114"/>
        <v>-100</v>
      </c>
      <c r="CE96" s="23" t="e">
        <f t="shared" si="111"/>
        <v>#DIV/0!</v>
      </c>
      <c r="CF96" s="23">
        <f t="shared" si="112"/>
        <v>-100</v>
      </c>
      <c r="CG96" s="23">
        <f t="shared" si="113"/>
        <v>-100</v>
      </c>
    </row>
    <row r="97" spans="1:85" ht="12">
      <c r="A97" s="1" t="s">
        <v>93</v>
      </c>
      <c r="B97" s="22">
        <v>91.03</v>
      </c>
      <c r="C97" s="10">
        <f t="shared" si="92"/>
        <v>429.42985828847634</v>
      </c>
      <c r="D97" s="11">
        <v>39091</v>
      </c>
      <c r="E97" s="11">
        <v>38966</v>
      </c>
      <c r="F97" s="8"/>
      <c r="G97" s="22">
        <v>501.41</v>
      </c>
      <c r="H97" s="10">
        <f t="shared" si="93"/>
        <v>340.9285814004507</v>
      </c>
      <c r="I97" s="11">
        <v>170945</v>
      </c>
      <c r="J97" s="11">
        <v>159586</v>
      </c>
      <c r="K97" s="23">
        <f t="shared" si="87"/>
        <v>450.81841151268816</v>
      </c>
      <c r="L97" s="23">
        <f t="shared" si="88"/>
        <v>-20.60901802235034</v>
      </c>
      <c r="M97" s="23">
        <f t="shared" si="89"/>
        <v>337.3001458136144</v>
      </c>
      <c r="N97" s="23">
        <f t="shared" si="90"/>
        <v>309.5519170558949</v>
      </c>
      <c r="O97" s="23"/>
      <c r="P97" s="22">
        <v>445.85</v>
      </c>
      <c r="Q97" s="10">
        <f t="shared" si="94"/>
        <v>326.482000672872</v>
      </c>
      <c r="R97" s="11">
        <v>145562</v>
      </c>
      <c r="S97" s="11">
        <v>131325</v>
      </c>
      <c r="T97" s="23">
        <f t="shared" si="95"/>
        <v>-11.080752278574423</v>
      </c>
      <c r="U97" s="23">
        <f t="shared" si="95"/>
        <v>-4.237421417774854</v>
      </c>
      <c r="V97" s="23">
        <f t="shared" si="95"/>
        <v>-14.848635526046394</v>
      </c>
      <c r="W97" s="23">
        <f t="shared" si="95"/>
        <v>-17.708946900104024</v>
      </c>
      <c r="X97" s="23"/>
      <c r="Y97" s="22">
        <v>509.56</v>
      </c>
      <c r="Z97" s="10">
        <f t="shared" si="96"/>
        <v>342.7996703037915</v>
      </c>
      <c r="AA97" s="20">
        <v>174677</v>
      </c>
      <c r="AB97" s="20">
        <v>162631</v>
      </c>
      <c r="AC97" s="23">
        <f t="shared" si="91"/>
        <v>14.289559268812368</v>
      </c>
      <c r="AD97" s="23">
        <f t="shared" si="91"/>
        <v>4.998030395944994</v>
      </c>
      <c r="AE97" s="23">
        <f t="shared" si="91"/>
        <v>20.00178618045919</v>
      </c>
      <c r="AF97" s="23">
        <f t="shared" si="91"/>
        <v>23.838568437083566</v>
      </c>
      <c r="AG97" s="23"/>
      <c r="AH97" s="22">
        <v>488.16</v>
      </c>
      <c r="AI97" s="10">
        <f t="shared" si="100"/>
        <v>336.0394133071124</v>
      </c>
      <c r="AJ97" s="20">
        <v>164041</v>
      </c>
      <c r="AK97" s="20">
        <v>153982</v>
      </c>
      <c r="AL97" s="23">
        <f t="shared" si="101"/>
        <v>-4.1997017034304065</v>
      </c>
      <c r="AM97" s="23">
        <f t="shared" si="101"/>
        <v>-1.9720721991033798</v>
      </c>
      <c r="AN97" s="23">
        <f t="shared" si="101"/>
        <v>-6.088952752795166</v>
      </c>
      <c r="AO97" s="23">
        <f t="shared" si="101"/>
        <v>-5.318174271817796</v>
      </c>
      <c r="AP97" s="23"/>
      <c r="AQ97" s="22">
        <v>575.49</v>
      </c>
      <c r="AR97" s="10">
        <f>AS97/AQ97</f>
        <v>367.27310639628837</v>
      </c>
      <c r="AS97" s="20">
        <v>211362</v>
      </c>
      <c r="AT97" s="20">
        <v>196992</v>
      </c>
      <c r="AU97" s="23">
        <f t="shared" si="74"/>
        <v>17.889626352015725</v>
      </c>
      <c r="AV97" s="23">
        <f t="shared" si="75"/>
        <v>9.294651714152025</v>
      </c>
      <c r="AW97" s="23">
        <f t="shared" si="76"/>
        <v>28.84705652855078</v>
      </c>
      <c r="AX97" s="23">
        <f t="shared" si="77"/>
        <v>20.08705140787974</v>
      </c>
      <c r="AY97" s="23"/>
      <c r="AZ97" s="22">
        <v>592.52</v>
      </c>
      <c r="BA97" s="10">
        <f>BB97/AZ97</f>
        <v>366.67960575170457</v>
      </c>
      <c r="BB97" s="20">
        <v>217265</v>
      </c>
      <c r="BC97" s="20">
        <v>201883</v>
      </c>
      <c r="BD97" s="23">
        <f t="shared" si="102"/>
        <v>2.9592173625953535</v>
      </c>
      <c r="BE97" s="23">
        <f t="shared" si="103"/>
        <v>-0.16159654334815343</v>
      </c>
      <c r="BF97" s="23">
        <f t="shared" si="104"/>
        <v>2.7928388262790804</v>
      </c>
      <c r="BG97" s="23">
        <f t="shared" si="97"/>
        <v>-4.4847228924783025</v>
      </c>
      <c r="BH97" s="23"/>
      <c r="BI97" s="22">
        <v>594.24</v>
      </c>
      <c r="BJ97" s="10">
        <f>BK97/BI97</f>
        <v>361.1369143780291</v>
      </c>
      <c r="BK97" s="20">
        <v>214602</v>
      </c>
      <c r="BL97" s="20">
        <v>200858</v>
      </c>
      <c r="BM97" s="23">
        <f t="shared" si="105"/>
        <v>0.2902855599811005</v>
      </c>
      <c r="BN97" s="23">
        <f t="shared" si="106"/>
        <v>-1.5115897603066202</v>
      </c>
      <c r="BO97" s="23">
        <f t="shared" si="107"/>
        <v>-1.2256921271258534</v>
      </c>
      <c r="BP97" s="23">
        <f t="shared" si="98"/>
        <v>-7.551607483948175</v>
      </c>
      <c r="BQ97" s="23"/>
      <c r="BR97" s="22">
        <v>437.58</v>
      </c>
      <c r="BS97" s="10">
        <f>BT97/BR97</f>
        <v>437.995337995338</v>
      </c>
      <c r="BT97" s="20">
        <v>191658</v>
      </c>
      <c r="BU97" s="20">
        <v>178363</v>
      </c>
      <c r="BV97" s="23">
        <f t="shared" si="108"/>
        <v>-26.363085621970924</v>
      </c>
      <c r="BW97" s="23">
        <f t="shared" si="109"/>
        <v>21.282350420941853</v>
      </c>
      <c r="BX97" s="23">
        <f t="shared" si="110"/>
        <v>-10.691419464869853</v>
      </c>
      <c r="BY97" s="23">
        <f t="shared" si="99"/>
        <v>-16.886608698893767</v>
      </c>
      <c r="BZ97" s="22"/>
      <c r="CA97" s="10" t="e">
        <f>CB97/BZ97</f>
        <v>#DIV/0!</v>
      </c>
      <c r="CB97" s="20"/>
      <c r="CC97" s="20"/>
      <c r="CD97" s="23">
        <f t="shared" si="114"/>
        <v>-100</v>
      </c>
      <c r="CE97" s="23" t="e">
        <f t="shared" si="111"/>
        <v>#DIV/0!</v>
      </c>
      <c r="CF97" s="23">
        <f t="shared" si="112"/>
        <v>-100</v>
      </c>
      <c r="CG97" s="23">
        <f t="shared" si="113"/>
        <v>-100</v>
      </c>
    </row>
    <row r="98" spans="1:85" ht="12">
      <c r="A98" s="1" t="s">
        <v>94</v>
      </c>
      <c r="B98" s="19">
        <f>B96+B97</f>
        <v>888.03</v>
      </c>
      <c r="C98" s="10">
        <f t="shared" si="92"/>
        <v>212.07954686215555</v>
      </c>
      <c r="D98" s="9">
        <f>D97+D96</f>
        <v>188333</v>
      </c>
      <c r="E98" s="9">
        <f>E97+E96</f>
        <v>178346</v>
      </c>
      <c r="F98" s="8"/>
      <c r="G98" s="19">
        <f>G96+G97</f>
        <v>1322.41</v>
      </c>
      <c r="H98" s="10">
        <f t="shared" si="93"/>
        <v>250.65448688379547</v>
      </c>
      <c r="I98" s="9">
        <f>I97+I96</f>
        <v>331468</v>
      </c>
      <c r="J98" s="9">
        <f>J97+J96</f>
        <v>308763</v>
      </c>
      <c r="K98" s="23">
        <f t="shared" si="87"/>
        <v>48.915014132405446</v>
      </c>
      <c r="L98" s="23">
        <f t="shared" si="88"/>
        <v>18.188901566595817</v>
      </c>
      <c r="M98" s="23">
        <f t="shared" si="89"/>
        <v>76.00101947083093</v>
      </c>
      <c r="N98" s="23">
        <f t="shared" si="90"/>
        <v>73.1258340529084</v>
      </c>
      <c r="O98" s="23"/>
      <c r="P98" s="19">
        <f>P96+P97</f>
        <v>1266.85</v>
      </c>
      <c r="Q98" s="10">
        <f t="shared" si="94"/>
        <v>243.25373959032248</v>
      </c>
      <c r="R98" s="9">
        <f>R97+R96</f>
        <v>308166</v>
      </c>
      <c r="S98" s="9">
        <f>S97+S96</f>
        <v>283442</v>
      </c>
      <c r="T98" s="23">
        <f t="shared" si="95"/>
        <v>-4.20142013445151</v>
      </c>
      <c r="U98" s="23">
        <f t="shared" si="95"/>
        <v>-2.9525692460091477</v>
      </c>
      <c r="V98" s="23">
        <f t="shared" si="95"/>
        <v>-7.029939541675219</v>
      </c>
      <c r="W98" s="23">
        <f t="shared" si="95"/>
        <v>-8.200788306889109</v>
      </c>
      <c r="X98" s="23"/>
      <c r="Y98" s="19">
        <f>Y96+Y97</f>
        <v>1359.56</v>
      </c>
      <c r="Z98" s="10">
        <f t="shared" si="96"/>
        <v>248.8915531495484</v>
      </c>
      <c r="AA98" s="19">
        <f>AA96+AA97</f>
        <v>338383</v>
      </c>
      <c r="AB98" s="19">
        <f>AB96+AB97</f>
        <v>314084</v>
      </c>
      <c r="AC98" s="23">
        <f t="shared" si="91"/>
        <v>7.318151320203668</v>
      </c>
      <c r="AD98" s="23">
        <f t="shared" si="91"/>
        <v>2.317667785383648</v>
      </c>
      <c r="AE98" s="23">
        <f t="shared" si="91"/>
        <v>9.805429541221287</v>
      </c>
      <c r="AF98" s="23">
        <f t="shared" si="91"/>
        <v>10.81067731669971</v>
      </c>
      <c r="AG98" s="23"/>
      <c r="AH98" s="19">
        <f>AH96+AH97</f>
        <v>1411.16</v>
      </c>
      <c r="AI98" s="10">
        <f t="shared" si="100"/>
        <v>230.4600470534879</v>
      </c>
      <c r="AJ98" s="19">
        <f>AJ96+AJ97</f>
        <v>325216</v>
      </c>
      <c r="AK98" s="19">
        <f>AK96+AK97</f>
        <v>306080</v>
      </c>
      <c r="AL98" s="23">
        <f t="shared" si="101"/>
        <v>3.795345552973018</v>
      </c>
      <c r="AM98" s="23">
        <f t="shared" si="101"/>
        <v>-7.405436569792215</v>
      </c>
      <c r="AN98" s="23">
        <f t="shared" si="101"/>
        <v>-3.8911529243490435</v>
      </c>
      <c r="AO98" s="23">
        <f t="shared" si="101"/>
        <v>-2.548362858343623</v>
      </c>
      <c r="AP98" s="23"/>
      <c r="AQ98" s="19">
        <f>AQ96+AQ97</f>
        <v>999.49</v>
      </c>
      <c r="AR98" s="6" t="s">
        <v>1</v>
      </c>
      <c r="AS98" s="19">
        <f>AS96+AS97</f>
        <v>318685</v>
      </c>
      <c r="AT98" s="19">
        <f>AT96+AT97</f>
        <v>295860</v>
      </c>
      <c r="AU98" s="23">
        <f t="shared" si="74"/>
        <v>-29.172453867740018</v>
      </c>
      <c r="AV98" s="23" t="e">
        <f t="shared" si="75"/>
        <v>#VALUE!</v>
      </c>
      <c r="AW98" s="23">
        <f t="shared" si="76"/>
        <v>-2.0082037784118825</v>
      </c>
      <c r="AX98" s="23">
        <f t="shared" si="77"/>
        <v>-9.026616156646654</v>
      </c>
      <c r="AY98" s="23"/>
      <c r="AZ98" s="19">
        <f>AZ96+AZ97</f>
        <v>1159.52</v>
      </c>
      <c r="BA98" s="6" t="s">
        <v>1</v>
      </c>
      <c r="BB98" s="19">
        <f>BB96+BB97</f>
        <v>342948</v>
      </c>
      <c r="BC98" s="19">
        <f>BC96+BC97</f>
        <v>318984</v>
      </c>
      <c r="BD98" s="23">
        <f t="shared" si="102"/>
        <v>16.0111656945042</v>
      </c>
      <c r="BE98" s="23" t="e">
        <f t="shared" si="103"/>
        <v>#VALUE!</v>
      </c>
      <c r="BF98" s="23">
        <f t="shared" si="104"/>
        <v>7.613474120212743</v>
      </c>
      <c r="BG98" s="23">
        <f t="shared" si="97"/>
        <v>0.09382305411300251</v>
      </c>
      <c r="BH98" s="23"/>
      <c r="BI98" s="19">
        <f>BI96+BI97</f>
        <v>1207.24</v>
      </c>
      <c r="BJ98" s="6" t="s">
        <v>1</v>
      </c>
      <c r="BK98" s="19">
        <f>BK96+BK97</f>
        <v>350323</v>
      </c>
      <c r="BL98" s="19">
        <f>BL96+BL97</f>
        <v>327829</v>
      </c>
      <c r="BM98" s="23">
        <f t="shared" si="105"/>
        <v>4.1154960673382135</v>
      </c>
      <c r="BN98" s="23" t="e">
        <f t="shared" si="106"/>
        <v>#VALUE!</v>
      </c>
      <c r="BO98" s="23">
        <f t="shared" si="107"/>
        <v>2.150471791641877</v>
      </c>
      <c r="BP98" s="23">
        <f t="shared" si="98"/>
        <v>-4.408540070214727</v>
      </c>
      <c r="BQ98" s="23"/>
      <c r="BR98" s="19">
        <f>BR96+BR97</f>
        <v>1036.58</v>
      </c>
      <c r="BS98" s="6" t="s">
        <v>1</v>
      </c>
      <c r="BT98" s="19">
        <f>BT96+BT97</f>
        <v>322017</v>
      </c>
      <c r="BU98" s="19">
        <f>BU96+BU97</f>
        <v>300156</v>
      </c>
      <c r="BV98" s="23">
        <f t="shared" si="108"/>
        <v>-14.136377190947954</v>
      </c>
      <c r="BW98" s="23" t="e">
        <f t="shared" si="109"/>
        <v>#VALUE!</v>
      </c>
      <c r="BX98" s="23">
        <f t="shared" si="110"/>
        <v>-8.079971911635838</v>
      </c>
      <c r="BY98" s="23">
        <f t="shared" si="99"/>
        <v>-14.32021306051844</v>
      </c>
      <c r="BZ98" s="19">
        <f>BZ96+BZ97</f>
        <v>0</v>
      </c>
      <c r="CA98" s="6" t="s">
        <v>1</v>
      </c>
      <c r="CB98" s="19">
        <f>CB96+CB97</f>
        <v>0</v>
      </c>
      <c r="CC98" s="19">
        <f>CC96+CC97</f>
        <v>0</v>
      </c>
      <c r="CD98" s="23">
        <f t="shared" si="114"/>
        <v>-100</v>
      </c>
      <c r="CE98" s="23" t="e">
        <f t="shared" si="111"/>
        <v>#VALUE!</v>
      </c>
      <c r="CF98" s="23">
        <f t="shared" si="112"/>
        <v>-100</v>
      </c>
      <c r="CG98" s="23">
        <f t="shared" si="113"/>
        <v>-100</v>
      </c>
    </row>
    <row r="99" spans="1:85" ht="12">
      <c r="A99" s="1" t="s">
        <v>95</v>
      </c>
      <c r="B99" s="20">
        <v>3850</v>
      </c>
      <c r="C99" s="10">
        <f t="shared" si="92"/>
        <v>279.7420779220779</v>
      </c>
      <c r="D99" s="11">
        <v>1077007</v>
      </c>
      <c r="E99" s="11">
        <v>983603</v>
      </c>
      <c r="F99" s="8"/>
      <c r="G99" s="20">
        <v>3958</v>
      </c>
      <c r="H99" s="10">
        <f t="shared" si="93"/>
        <v>309.4858514401213</v>
      </c>
      <c r="I99" s="11">
        <v>1224945</v>
      </c>
      <c r="J99" s="11">
        <v>186765</v>
      </c>
      <c r="K99" s="23">
        <f t="shared" si="87"/>
        <v>2.8051948051948017</v>
      </c>
      <c r="L99" s="23">
        <f t="shared" si="88"/>
        <v>10.63257045167461</v>
      </c>
      <c r="M99" s="23">
        <f t="shared" si="89"/>
        <v>13.73602957083844</v>
      </c>
      <c r="N99" s="23">
        <f t="shared" si="90"/>
        <v>-81.01215632729871</v>
      </c>
      <c r="O99" s="23"/>
      <c r="P99" s="20">
        <v>3552</v>
      </c>
      <c r="Q99" s="10">
        <f t="shared" si="94"/>
        <v>279.50506756756755</v>
      </c>
      <c r="R99" s="11">
        <v>992802</v>
      </c>
      <c r="S99" s="11">
        <v>896110</v>
      </c>
      <c r="T99" s="23">
        <f t="shared" si="95"/>
        <v>-10.257705912076801</v>
      </c>
      <c r="U99" s="23">
        <f t="shared" si="95"/>
        <v>-9.687287393929324</v>
      </c>
      <c r="V99" s="23">
        <f t="shared" si="95"/>
        <v>-18.95129985427917</v>
      </c>
      <c r="W99" s="23">
        <f t="shared" si="95"/>
        <v>379.80617353358497</v>
      </c>
      <c r="X99" s="23"/>
      <c r="Y99" s="20">
        <v>3221</v>
      </c>
      <c r="Z99" s="10">
        <f t="shared" si="96"/>
        <v>279.20490530891027</v>
      </c>
      <c r="AA99" s="20">
        <v>899319</v>
      </c>
      <c r="AB99" s="20">
        <v>880908</v>
      </c>
      <c r="AC99" s="23">
        <f t="shared" si="91"/>
        <v>-9.318693693693689</v>
      </c>
      <c r="AD99" s="23">
        <f t="shared" si="91"/>
        <v>-0.10739063204452748</v>
      </c>
      <c r="AE99" s="23">
        <f t="shared" si="91"/>
        <v>-9.416076921682276</v>
      </c>
      <c r="AF99" s="23">
        <f t="shared" si="91"/>
        <v>-1.6964435169789454</v>
      </c>
      <c r="AG99" s="23"/>
      <c r="AH99" s="20">
        <v>3294</v>
      </c>
      <c r="AI99" s="10">
        <f t="shared" si="100"/>
        <v>303.83849423193686</v>
      </c>
      <c r="AJ99" s="20">
        <v>1000844</v>
      </c>
      <c r="AK99" s="20">
        <v>976674</v>
      </c>
      <c r="AL99" s="23">
        <f t="shared" si="101"/>
        <v>2.2663769015833566</v>
      </c>
      <c r="AM99" s="23">
        <f t="shared" si="101"/>
        <v>8.82276366017716</v>
      </c>
      <c r="AN99" s="23">
        <f t="shared" si="101"/>
        <v>11.289097639436065</v>
      </c>
      <c r="AO99" s="23">
        <f t="shared" si="101"/>
        <v>10.871282812734137</v>
      </c>
      <c r="AP99" s="23"/>
      <c r="AQ99" s="20">
        <v>2629</v>
      </c>
      <c r="AR99" s="10">
        <f>AS99/AQ99</f>
        <v>325.5857740585774</v>
      </c>
      <c r="AS99" s="20">
        <v>855965</v>
      </c>
      <c r="AT99" s="20">
        <v>841431</v>
      </c>
      <c r="AU99" s="23">
        <f t="shared" si="74"/>
        <v>-20.188221007893134</v>
      </c>
      <c r="AV99" s="23">
        <f t="shared" si="75"/>
        <v>7.157513033894773</v>
      </c>
      <c r="AW99" s="23">
        <f t="shared" si="76"/>
        <v>-14.475682523949786</v>
      </c>
      <c r="AX99" s="23">
        <f t="shared" si="77"/>
        <v>-15.927856888785868</v>
      </c>
      <c r="AY99" s="23"/>
      <c r="AZ99" s="20">
        <v>3324</v>
      </c>
      <c r="BA99" s="10">
        <f>BB99/AZ99</f>
        <v>302.3014440433213</v>
      </c>
      <c r="BB99" s="20">
        <v>1004850</v>
      </c>
      <c r="BC99" s="20">
        <v>994224</v>
      </c>
      <c r="BD99" s="23">
        <f t="shared" si="102"/>
        <v>26.435907189045267</v>
      </c>
      <c r="BE99" s="23">
        <f t="shared" si="103"/>
        <v>-7.151519467514248</v>
      </c>
      <c r="BF99" s="23">
        <f t="shared" si="104"/>
        <v>17.393818672492444</v>
      </c>
      <c r="BG99" s="23">
        <f t="shared" si="97"/>
        <v>16.15241277388678</v>
      </c>
      <c r="BH99" s="23"/>
      <c r="BI99" s="20">
        <v>2865</v>
      </c>
      <c r="BJ99" s="10">
        <f>BK99/BI99</f>
        <v>371.8652705061082</v>
      </c>
      <c r="BK99" s="20">
        <v>1065394</v>
      </c>
      <c r="BL99" s="20">
        <v>1037012</v>
      </c>
      <c r="BM99" s="23">
        <f t="shared" si="105"/>
        <v>-13.808664259927795</v>
      </c>
      <c r="BN99" s="23">
        <f t="shared" si="106"/>
        <v>23.011410574941905</v>
      </c>
      <c r="BO99" s="23">
        <f t="shared" si="107"/>
        <v>6.025177887246855</v>
      </c>
      <c r="BP99" s="23">
        <f t="shared" si="98"/>
        <v>3.2006767179180997</v>
      </c>
      <c r="BQ99" s="23"/>
      <c r="BR99" s="20">
        <v>3002</v>
      </c>
      <c r="BS99" s="10">
        <f>BT99/BR99</f>
        <v>375.1892071952032</v>
      </c>
      <c r="BT99" s="20">
        <v>1126318</v>
      </c>
      <c r="BU99" s="20">
        <v>1097458</v>
      </c>
      <c r="BV99" s="23">
        <f t="shared" si="108"/>
        <v>4.781849912739972</v>
      </c>
      <c r="BW99" s="23">
        <f t="shared" si="109"/>
        <v>0.8938551009539424</v>
      </c>
      <c r="BX99" s="23">
        <f t="shared" si="110"/>
        <v>5.718447823058881</v>
      </c>
      <c r="BY99" s="23">
        <f t="shared" si="99"/>
        <v>3.009590818044785</v>
      </c>
      <c r="BZ99" s="20"/>
      <c r="CA99" s="10"/>
      <c r="CB99" s="20"/>
      <c r="CC99" s="20"/>
      <c r="CD99" s="23">
        <f t="shared" si="114"/>
        <v>-100</v>
      </c>
      <c r="CE99" s="23">
        <f t="shared" si="111"/>
        <v>-100</v>
      </c>
      <c r="CF99" s="23">
        <f t="shared" si="112"/>
        <v>-100</v>
      </c>
      <c r="CG99" s="23">
        <f t="shared" si="113"/>
        <v>-100</v>
      </c>
    </row>
    <row r="100" spans="1:85" ht="12">
      <c r="A100" s="1" t="s">
        <v>96</v>
      </c>
      <c r="B100" s="22">
        <v>284.99</v>
      </c>
      <c r="C100" s="10">
        <f t="shared" si="92"/>
        <v>422.3235903014141</v>
      </c>
      <c r="D100" s="11">
        <v>120358</v>
      </c>
      <c r="E100" s="11">
        <v>112724</v>
      </c>
      <c r="F100" s="8"/>
      <c r="G100" s="22">
        <v>246.69</v>
      </c>
      <c r="H100" s="10">
        <f t="shared" si="93"/>
        <v>458.445822692448</v>
      </c>
      <c r="I100" s="11">
        <v>113094</v>
      </c>
      <c r="J100" s="11">
        <v>106328</v>
      </c>
      <c r="K100" s="23">
        <f t="shared" si="87"/>
        <v>-13.439068037474996</v>
      </c>
      <c r="L100" s="23">
        <f t="shared" si="88"/>
        <v>8.55321209152757</v>
      </c>
      <c r="M100" s="23">
        <f t="shared" si="89"/>
        <v>-6.0353279383173515</v>
      </c>
      <c r="N100" s="23">
        <f t="shared" si="90"/>
        <v>-5.674035697810581</v>
      </c>
      <c r="O100" s="23"/>
      <c r="P100" s="22">
        <v>260.39</v>
      </c>
      <c r="Q100" s="10">
        <f t="shared" si="94"/>
        <v>416.19877875494456</v>
      </c>
      <c r="R100" s="11">
        <v>108374</v>
      </c>
      <c r="S100" s="11">
        <v>101171</v>
      </c>
      <c r="T100" s="23">
        <f t="shared" si="95"/>
        <v>5.553528720256196</v>
      </c>
      <c r="U100" s="23">
        <f t="shared" si="95"/>
        <v>-9.215275141866698</v>
      </c>
      <c r="V100" s="23">
        <f t="shared" si="95"/>
        <v>-4.173519373264725</v>
      </c>
      <c r="W100" s="23">
        <f t="shared" si="95"/>
        <v>-4.850086524715977</v>
      </c>
      <c r="X100" s="23"/>
      <c r="Y100" s="22">
        <v>402.5</v>
      </c>
      <c r="Z100" s="10">
        <f t="shared" si="96"/>
        <v>270.2260869565217</v>
      </c>
      <c r="AA100" s="20">
        <v>108766</v>
      </c>
      <c r="AB100" s="20">
        <v>101764</v>
      </c>
      <c r="AC100" s="23">
        <f t="shared" si="91"/>
        <v>54.57582856484504</v>
      </c>
      <c r="AD100" s="23">
        <f t="shared" si="91"/>
        <v>-35.07283039971885</v>
      </c>
      <c r="AE100" s="23">
        <f t="shared" si="91"/>
        <v>0.361710373336777</v>
      </c>
      <c r="AF100" s="23">
        <f t="shared" si="91"/>
        <v>0.5861363434185733</v>
      </c>
      <c r="AG100" s="23"/>
      <c r="AH100" s="22">
        <v>281.52</v>
      </c>
      <c r="AI100" s="10">
        <f t="shared" si="100"/>
        <v>405.36018755328223</v>
      </c>
      <c r="AJ100" s="20">
        <v>114117</v>
      </c>
      <c r="AK100" s="20">
        <v>107761</v>
      </c>
      <c r="AL100" s="23">
        <f t="shared" si="101"/>
        <v>-30.057142857142864</v>
      </c>
      <c r="AM100" s="23">
        <f t="shared" si="101"/>
        <v>50.007792407734144</v>
      </c>
      <c r="AN100" s="23">
        <f t="shared" si="101"/>
        <v>4.919735946895173</v>
      </c>
      <c r="AO100" s="23">
        <f t="shared" si="101"/>
        <v>5.893046656971038</v>
      </c>
      <c r="AP100" s="23"/>
      <c r="AQ100" s="22">
        <v>258.49</v>
      </c>
      <c r="AR100" s="10">
        <f>AS100/AQ100</f>
        <v>407.1801617083833</v>
      </c>
      <c r="AS100" s="20">
        <v>105252</v>
      </c>
      <c r="AT100" s="20">
        <v>100289</v>
      </c>
      <c r="AU100" s="23">
        <f aca="true" t="shared" si="115" ref="AU100:AU122">AQ100*100/AH100-100</f>
        <v>-8.180591077010504</v>
      </c>
      <c r="AV100" s="23">
        <f aca="true" t="shared" si="116" ref="AV100:AV116">AR100*100/AI100-100</f>
        <v>0.4489770359754033</v>
      </c>
      <c r="AW100" s="23">
        <f aca="true" t="shared" si="117" ref="AW100:AW116">AS100*100/AJ100-100</f>
        <v>-7.768343016377926</v>
      </c>
      <c r="AX100" s="23">
        <f aca="true" t="shared" si="118" ref="AX100:AX116">AT100*100/AJ100-100</f>
        <v>-12.117388294469706</v>
      </c>
      <c r="AY100" s="23"/>
      <c r="AZ100" s="22">
        <v>265.27</v>
      </c>
      <c r="BA100" s="10">
        <f>BB100/AZ100</f>
        <v>378.7084856938214</v>
      </c>
      <c r="BB100" s="20">
        <v>100460</v>
      </c>
      <c r="BC100" s="20">
        <v>98778</v>
      </c>
      <c r="BD100" s="23">
        <f t="shared" si="102"/>
        <v>2.6229254516615725</v>
      </c>
      <c r="BE100" s="23">
        <f t="shared" si="103"/>
        <v>-6.992402551024313</v>
      </c>
      <c r="BF100" s="23">
        <f t="shared" si="104"/>
        <v>-4.552882605556192</v>
      </c>
      <c r="BG100" s="23">
        <f t="shared" si="97"/>
        <v>-6.150952000912099</v>
      </c>
      <c r="BH100" s="23"/>
      <c r="BI100" s="22">
        <v>261.15</v>
      </c>
      <c r="BJ100" s="10">
        <f>BK100/BI100</f>
        <v>381.7959027378901</v>
      </c>
      <c r="BK100" s="20">
        <v>99706</v>
      </c>
      <c r="BL100" s="20">
        <v>97469</v>
      </c>
      <c r="BM100" s="23">
        <f t="shared" si="105"/>
        <v>-1.5531345421645995</v>
      </c>
      <c r="BN100" s="23">
        <f t="shared" si="106"/>
        <v>0.8152489739997151</v>
      </c>
      <c r="BO100" s="23">
        <f t="shared" si="107"/>
        <v>-0.7505474815847037</v>
      </c>
      <c r="BP100" s="23">
        <f t="shared" si="98"/>
        <v>-2.9773043997610955</v>
      </c>
      <c r="BQ100" s="23"/>
      <c r="BR100" s="22">
        <v>204.33</v>
      </c>
      <c r="BS100" s="10">
        <f>BT100/BR100</f>
        <v>435.29095091273916</v>
      </c>
      <c r="BT100" s="20">
        <v>88943</v>
      </c>
      <c r="BU100" s="20">
        <v>84441</v>
      </c>
      <c r="BV100" s="23">
        <f t="shared" si="108"/>
        <v>-21.75761056863871</v>
      </c>
      <c r="BW100" s="23">
        <f t="shared" si="109"/>
        <v>14.01142542160133</v>
      </c>
      <c r="BX100" s="23">
        <f t="shared" si="110"/>
        <v>-10.794736525384636</v>
      </c>
      <c r="BY100" s="23">
        <f t="shared" si="99"/>
        <v>-15.310011433614832</v>
      </c>
      <c r="BZ100" s="22"/>
      <c r="CA100" s="10" t="e">
        <f>CB100/BZ100</f>
        <v>#DIV/0!</v>
      </c>
      <c r="CB100" s="20"/>
      <c r="CC100" s="20"/>
      <c r="CD100" s="23">
        <f t="shared" si="114"/>
        <v>-100</v>
      </c>
      <c r="CE100" s="23" t="e">
        <f t="shared" si="111"/>
        <v>#DIV/0!</v>
      </c>
      <c r="CF100" s="23">
        <f t="shared" si="112"/>
        <v>-100</v>
      </c>
      <c r="CG100" s="23">
        <f t="shared" si="113"/>
        <v>-100</v>
      </c>
    </row>
    <row r="101" spans="1:85" ht="12">
      <c r="A101" s="1" t="s">
        <v>97</v>
      </c>
      <c r="B101" s="19">
        <f>B99+B100</f>
        <v>4134.99</v>
      </c>
      <c r="C101" s="10">
        <f t="shared" si="92"/>
        <v>289.56901951395287</v>
      </c>
      <c r="D101" s="9">
        <f>D100+D99</f>
        <v>1197365</v>
      </c>
      <c r="E101" s="9">
        <f>E100+E99</f>
        <v>1096327</v>
      </c>
      <c r="F101" s="8"/>
      <c r="G101" s="19">
        <f>G99+G100</f>
        <v>4204.69</v>
      </c>
      <c r="H101" s="10">
        <f t="shared" si="93"/>
        <v>318.2253626307766</v>
      </c>
      <c r="I101" s="9">
        <f>I100+I99</f>
        <v>1338039</v>
      </c>
      <c r="J101" s="9">
        <f>J100+J99</f>
        <v>293093</v>
      </c>
      <c r="K101" s="23">
        <f t="shared" si="87"/>
        <v>1.6856147173269989</v>
      </c>
      <c r="L101" s="23">
        <f t="shared" si="88"/>
        <v>9.896204768356768</v>
      </c>
      <c r="M101" s="23">
        <f t="shared" si="89"/>
        <v>11.748631369715994</v>
      </c>
      <c r="N101" s="23">
        <f t="shared" si="90"/>
        <v>-73.26591427557653</v>
      </c>
      <c r="O101" s="23"/>
      <c r="P101" s="19">
        <f>P99+P100</f>
        <v>3812.39</v>
      </c>
      <c r="Q101" s="10">
        <f t="shared" si="94"/>
        <v>288.8413829644921</v>
      </c>
      <c r="R101" s="9">
        <f>R100+R99</f>
        <v>1101176</v>
      </c>
      <c r="S101" s="9">
        <f>S100+S99</f>
        <v>997281</v>
      </c>
      <c r="T101" s="23">
        <f t="shared" si="95"/>
        <v>-9.330057626127001</v>
      </c>
      <c r="U101" s="23">
        <f t="shared" si="95"/>
        <v>-9.233701369170092</v>
      </c>
      <c r="V101" s="23">
        <f t="shared" si="95"/>
        <v>-17.70224933652905</v>
      </c>
      <c r="W101" s="23">
        <f t="shared" si="95"/>
        <v>240.26094106648742</v>
      </c>
      <c r="X101" s="23"/>
      <c r="Y101" s="19">
        <f>Y99+Y100</f>
        <v>3623.5</v>
      </c>
      <c r="Z101" s="10">
        <f t="shared" si="96"/>
        <v>278.2075341520629</v>
      </c>
      <c r="AA101" s="19">
        <f>AA99+AA100</f>
        <v>1008085</v>
      </c>
      <c r="AB101" s="19">
        <f>AB99+AB100</f>
        <v>982672</v>
      </c>
      <c r="AC101" s="23">
        <f t="shared" si="91"/>
        <v>-4.954634756674949</v>
      </c>
      <c r="AD101" s="23">
        <f t="shared" si="91"/>
        <v>-3.6815530736246416</v>
      </c>
      <c r="AE101" s="23">
        <f t="shared" si="91"/>
        <v>-8.453780322128338</v>
      </c>
      <c r="AF101" s="23">
        <f t="shared" si="91"/>
        <v>-1.464883016923011</v>
      </c>
      <c r="AG101" s="23"/>
      <c r="AH101" s="19">
        <f>AH99+AH100</f>
        <v>3575.52</v>
      </c>
      <c r="AI101" s="10">
        <f t="shared" si="100"/>
        <v>311.8318454378664</v>
      </c>
      <c r="AJ101" s="19">
        <f>AJ99+AJ100</f>
        <v>1114961</v>
      </c>
      <c r="AK101" s="19">
        <f>AK99+AK100</f>
        <v>1084435</v>
      </c>
      <c r="AL101" s="23">
        <f t="shared" si="101"/>
        <v>-1.3241341244653029</v>
      </c>
      <c r="AM101" s="23">
        <f t="shared" si="101"/>
        <v>12.086053452249445</v>
      </c>
      <c r="AN101" s="23">
        <f t="shared" si="101"/>
        <v>10.601883769721795</v>
      </c>
      <c r="AO101" s="23">
        <f t="shared" si="101"/>
        <v>10.355744337886904</v>
      </c>
      <c r="AP101" s="23"/>
      <c r="AQ101" s="19">
        <f>AQ99+AQ100</f>
        <v>2887.49</v>
      </c>
      <c r="AR101" s="6" t="s">
        <v>1</v>
      </c>
      <c r="AS101" s="19">
        <f>AS99+AS100</f>
        <v>961217</v>
      </c>
      <c r="AT101" s="19">
        <f>AT99+AT100</f>
        <v>941720</v>
      </c>
      <c r="AU101" s="23">
        <f t="shared" si="115"/>
        <v>-19.242795453528444</v>
      </c>
      <c r="AV101" s="23" t="e">
        <f t="shared" si="116"/>
        <v>#VALUE!</v>
      </c>
      <c r="AW101" s="23">
        <f t="shared" si="117"/>
        <v>-13.789181863760263</v>
      </c>
      <c r="AX101" s="23">
        <f t="shared" si="118"/>
        <v>-15.537852893509282</v>
      </c>
      <c r="AY101" s="23"/>
      <c r="AZ101" s="19">
        <f>AZ99+AZ100</f>
        <v>3589.27</v>
      </c>
      <c r="BA101" s="6" t="s">
        <v>1</v>
      </c>
      <c r="BB101" s="19">
        <f>BB99+BB100</f>
        <v>1105310</v>
      </c>
      <c r="BC101" s="19">
        <f>BC99+BC100</f>
        <v>1093002</v>
      </c>
      <c r="BD101" s="23">
        <f t="shared" si="102"/>
        <v>24.304153434297618</v>
      </c>
      <c r="BE101" s="23" t="e">
        <f t="shared" si="103"/>
        <v>#VALUE!</v>
      </c>
      <c r="BF101" s="23">
        <f t="shared" si="104"/>
        <v>14.990683685369689</v>
      </c>
      <c r="BG101" s="23">
        <f t="shared" si="97"/>
        <v>13.71022360195461</v>
      </c>
      <c r="BH101" s="23"/>
      <c r="BI101" s="19">
        <f>BI99+BI100</f>
        <v>3126.15</v>
      </c>
      <c r="BJ101" s="6" t="s">
        <v>1</v>
      </c>
      <c r="BK101" s="19">
        <f>BK99+BK100</f>
        <v>1165100</v>
      </c>
      <c r="BL101" s="19">
        <f>BL99+BL100</f>
        <v>1134481</v>
      </c>
      <c r="BM101" s="23">
        <f t="shared" si="105"/>
        <v>-12.902902261462643</v>
      </c>
      <c r="BN101" s="23" t="e">
        <f t="shared" si="106"/>
        <v>#VALUE!</v>
      </c>
      <c r="BO101" s="23">
        <f t="shared" si="107"/>
        <v>5.409342175498281</v>
      </c>
      <c r="BP101" s="23">
        <f t="shared" si="98"/>
        <v>2.639169101880924</v>
      </c>
      <c r="BQ101" s="23"/>
      <c r="BR101" s="19">
        <f>BR99+BR100</f>
        <v>3206.33</v>
      </c>
      <c r="BS101" s="6" t="s">
        <v>1</v>
      </c>
      <c r="BT101" s="19">
        <f>BT99+BT100</f>
        <v>1215261</v>
      </c>
      <c r="BU101" s="19">
        <f>BU99+BU100</f>
        <v>1181899</v>
      </c>
      <c r="BV101" s="23">
        <f t="shared" si="108"/>
        <v>2.564816147657666</v>
      </c>
      <c r="BW101" s="23" t="e">
        <f t="shared" si="109"/>
        <v>#VALUE!</v>
      </c>
      <c r="BX101" s="23">
        <f t="shared" si="110"/>
        <v>4.305295682774016</v>
      </c>
      <c r="BY101" s="23">
        <f t="shared" si="99"/>
        <v>1.4418504849369214</v>
      </c>
      <c r="BZ101" s="19">
        <f>BZ99+BZ100</f>
        <v>0</v>
      </c>
      <c r="CA101" s="6" t="s">
        <v>1</v>
      </c>
      <c r="CB101" s="19">
        <f>CB99+CB100</f>
        <v>0</v>
      </c>
      <c r="CC101" s="19">
        <f>CC99+CC100</f>
        <v>0</v>
      </c>
      <c r="CD101" s="23">
        <f t="shared" si="114"/>
        <v>-100</v>
      </c>
      <c r="CE101" s="23" t="e">
        <f t="shared" si="111"/>
        <v>#VALUE!</v>
      </c>
      <c r="CF101" s="23">
        <f t="shared" si="112"/>
        <v>-100</v>
      </c>
      <c r="CG101" s="23">
        <f t="shared" si="113"/>
        <v>-100</v>
      </c>
    </row>
    <row r="102" spans="1:85" ht="12">
      <c r="A102" s="1" t="s">
        <v>98</v>
      </c>
      <c r="B102" s="20">
        <v>6478</v>
      </c>
      <c r="C102" s="10">
        <f t="shared" si="92"/>
        <v>142.12534732942265</v>
      </c>
      <c r="D102" s="11">
        <v>920688</v>
      </c>
      <c r="E102" s="11">
        <v>872790</v>
      </c>
      <c r="F102" s="8"/>
      <c r="G102" s="20">
        <v>6956</v>
      </c>
      <c r="H102" s="10">
        <f t="shared" si="93"/>
        <v>140.46808510638297</v>
      </c>
      <c r="I102" s="11">
        <v>977096</v>
      </c>
      <c r="J102" s="11">
        <v>929801</v>
      </c>
      <c r="K102" s="23">
        <f t="shared" si="87"/>
        <v>7.3788206236492755</v>
      </c>
      <c r="L102" s="23">
        <f t="shared" si="88"/>
        <v>-1.1660567619922375</v>
      </c>
      <c r="M102" s="23">
        <f t="shared" si="89"/>
        <v>6.126722624819706</v>
      </c>
      <c r="N102" s="23">
        <f t="shared" si="90"/>
        <v>6.532040926225093</v>
      </c>
      <c r="O102" s="23"/>
      <c r="P102" s="20">
        <v>6086</v>
      </c>
      <c r="Q102" s="10">
        <f t="shared" si="94"/>
        <v>144.27932960893855</v>
      </c>
      <c r="R102" s="11">
        <v>878084</v>
      </c>
      <c r="S102" s="11">
        <v>829372</v>
      </c>
      <c r="T102" s="23">
        <f t="shared" si="95"/>
        <v>-12.507188039102928</v>
      </c>
      <c r="U102" s="23">
        <f t="shared" si="95"/>
        <v>2.7132458591352986</v>
      </c>
      <c r="V102" s="23">
        <f t="shared" si="95"/>
        <v>-10.133292941532872</v>
      </c>
      <c r="W102" s="23">
        <f t="shared" si="95"/>
        <v>-10.801128413499228</v>
      </c>
      <c r="X102" s="23"/>
      <c r="Y102" s="20">
        <v>6204</v>
      </c>
      <c r="Z102" s="10">
        <f t="shared" si="96"/>
        <v>145.1407156673114</v>
      </c>
      <c r="AA102" s="20">
        <v>900453</v>
      </c>
      <c r="AB102" s="20">
        <v>849156</v>
      </c>
      <c r="AC102" s="23">
        <f t="shared" si="91"/>
        <v>1.9388761091028641</v>
      </c>
      <c r="AD102" s="23">
        <f t="shared" si="91"/>
        <v>0.5970266570461575</v>
      </c>
      <c r="AE102" s="23">
        <f t="shared" si="91"/>
        <v>2.5474783733674684</v>
      </c>
      <c r="AF102" s="23">
        <f t="shared" si="91"/>
        <v>2.385419329323881</v>
      </c>
      <c r="AG102" s="23"/>
      <c r="AH102" s="20">
        <v>6602</v>
      </c>
      <c r="AI102" s="10">
        <f t="shared" si="100"/>
        <v>141.40548318691305</v>
      </c>
      <c r="AJ102" s="20">
        <v>933559</v>
      </c>
      <c r="AK102" s="20">
        <v>892374</v>
      </c>
      <c r="AL102" s="23">
        <f t="shared" si="101"/>
        <v>6.4152159896840715</v>
      </c>
      <c r="AM102" s="23">
        <f t="shared" si="101"/>
        <v>-2.5735249156137456</v>
      </c>
      <c r="AN102" s="23">
        <f t="shared" si="101"/>
        <v>3.6765938921853802</v>
      </c>
      <c r="AO102" s="23">
        <f t="shared" si="101"/>
        <v>5.089524186368578</v>
      </c>
      <c r="AP102" s="23"/>
      <c r="AQ102" s="20">
        <v>4651</v>
      </c>
      <c r="AR102" s="10">
        <f>AS102/AQ102</f>
        <v>141.66953343367018</v>
      </c>
      <c r="AS102" s="20">
        <v>658905</v>
      </c>
      <c r="AT102" s="20">
        <v>631081</v>
      </c>
      <c r="AU102" s="23">
        <f t="shared" si="115"/>
        <v>-29.551651014843983</v>
      </c>
      <c r="AV102" s="23">
        <f t="shared" si="116"/>
        <v>0.1867326788227217</v>
      </c>
      <c r="AW102" s="23">
        <f t="shared" si="117"/>
        <v>-29.420100925597637</v>
      </c>
      <c r="AX102" s="23">
        <f t="shared" si="118"/>
        <v>-32.40052315922186</v>
      </c>
      <c r="AY102" s="23"/>
      <c r="AZ102" s="20">
        <v>6433</v>
      </c>
      <c r="BA102" s="10">
        <f>BB102/AZ102</f>
        <v>133.2356598787502</v>
      </c>
      <c r="BB102" s="20">
        <v>857105</v>
      </c>
      <c r="BC102" s="20">
        <v>823355</v>
      </c>
      <c r="BD102" s="23">
        <f t="shared" si="102"/>
        <v>38.31434100193508</v>
      </c>
      <c r="BE102" s="23">
        <f t="shared" si="103"/>
        <v>-5.953202040344635</v>
      </c>
      <c r="BF102" s="23">
        <f t="shared" si="104"/>
        <v>30.08020883131863</v>
      </c>
      <c r="BG102" s="23">
        <f t="shared" si="97"/>
        <v>24.958074380980563</v>
      </c>
      <c r="BH102" s="23"/>
      <c r="BI102" s="20">
        <v>6354</v>
      </c>
      <c r="BJ102" s="10">
        <f>BK102/BI102</f>
        <v>145.50865596474662</v>
      </c>
      <c r="BK102" s="20">
        <v>924562</v>
      </c>
      <c r="BL102" s="20">
        <v>895763</v>
      </c>
      <c r="BM102" s="23">
        <f t="shared" si="105"/>
        <v>-1.2280429037773928</v>
      </c>
      <c r="BN102" s="23">
        <f t="shared" si="106"/>
        <v>9.211494953502196</v>
      </c>
      <c r="BO102" s="23">
        <f t="shared" si="107"/>
        <v>7.870330939616494</v>
      </c>
      <c r="BP102" s="23">
        <f t="shared" si="98"/>
        <v>4.510299204881548</v>
      </c>
      <c r="BQ102" s="23"/>
      <c r="BR102" s="20">
        <v>6224</v>
      </c>
      <c r="BS102" s="10">
        <f>BT102/BR102</f>
        <v>140.82872750642673</v>
      </c>
      <c r="BT102" s="20">
        <v>876518</v>
      </c>
      <c r="BU102" s="20">
        <v>844311</v>
      </c>
      <c r="BV102" s="23">
        <f t="shared" si="108"/>
        <v>-2.0459553037456715</v>
      </c>
      <c r="BW102" s="23">
        <f t="shared" si="109"/>
        <v>-3.2162543370984906</v>
      </c>
      <c r="BX102" s="23">
        <f t="shared" si="110"/>
        <v>-5.196406514652338</v>
      </c>
      <c r="BY102" s="23">
        <f t="shared" si="99"/>
        <v>-8.679893830808538</v>
      </c>
      <c r="BZ102" s="20"/>
      <c r="CA102" s="10" t="e">
        <f>CB102/BZ102</f>
        <v>#DIV/0!</v>
      </c>
      <c r="CB102" s="20"/>
      <c r="CC102" s="20"/>
      <c r="CD102" s="23">
        <f t="shared" si="114"/>
        <v>-100</v>
      </c>
      <c r="CE102" s="23" t="e">
        <f t="shared" si="111"/>
        <v>#DIV/0!</v>
      </c>
      <c r="CF102" s="23">
        <f t="shared" si="112"/>
        <v>-100</v>
      </c>
      <c r="CG102" s="23">
        <f t="shared" si="113"/>
        <v>-100</v>
      </c>
    </row>
    <row r="103" spans="1:85" ht="12">
      <c r="A103" s="1" t="s">
        <v>99</v>
      </c>
      <c r="B103" s="22">
        <v>171.26</v>
      </c>
      <c r="C103" s="10">
        <f t="shared" si="92"/>
        <v>316.6763984584842</v>
      </c>
      <c r="D103" s="11">
        <v>54234</v>
      </c>
      <c r="E103" s="11">
        <v>53850</v>
      </c>
      <c r="F103" s="8"/>
      <c r="G103" s="22">
        <v>221.33</v>
      </c>
      <c r="H103" s="10">
        <f t="shared" si="93"/>
        <v>307.57240319884335</v>
      </c>
      <c r="I103" s="11">
        <v>68075</v>
      </c>
      <c r="J103" s="11">
        <v>67610</v>
      </c>
      <c r="K103" s="23">
        <f t="shared" si="87"/>
        <v>29.236248978161854</v>
      </c>
      <c r="L103" s="23">
        <f t="shared" si="88"/>
        <v>-2.8748575214184626</v>
      </c>
      <c r="M103" s="23">
        <f t="shared" si="89"/>
        <v>25.520890954014092</v>
      </c>
      <c r="N103" s="23">
        <f t="shared" si="90"/>
        <v>25.552460538532955</v>
      </c>
      <c r="O103" s="23"/>
      <c r="P103" s="22">
        <v>219.4</v>
      </c>
      <c r="Q103" s="10">
        <f t="shared" si="94"/>
        <v>297.4430264357338</v>
      </c>
      <c r="R103" s="11">
        <v>65259</v>
      </c>
      <c r="S103" s="11">
        <v>65054</v>
      </c>
      <c r="T103" s="23">
        <f t="shared" si="95"/>
        <v>-0.8720010843536841</v>
      </c>
      <c r="U103" s="23">
        <f t="shared" si="95"/>
        <v>-3.293330824794751</v>
      </c>
      <c r="V103" s="23">
        <f t="shared" si="95"/>
        <v>-4.136614028644871</v>
      </c>
      <c r="W103" s="23">
        <f t="shared" si="95"/>
        <v>-3.78050584233101</v>
      </c>
      <c r="X103" s="23"/>
      <c r="Y103" s="22">
        <v>202.12</v>
      </c>
      <c r="Z103" s="10">
        <f t="shared" si="96"/>
        <v>284.058974866416</v>
      </c>
      <c r="AA103" s="20">
        <v>57414</v>
      </c>
      <c r="AB103" s="20">
        <v>56921</v>
      </c>
      <c r="AC103" s="23">
        <f t="shared" si="91"/>
        <v>-7.876025524156788</v>
      </c>
      <c r="AD103" s="23">
        <f t="shared" si="91"/>
        <v>-4.499702591685946</v>
      </c>
      <c r="AE103" s="23">
        <f t="shared" si="91"/>
        <v>-12.021330391210412</v>
      </c>
      <c r="AF103" s="23">
        <f t="shared" si="91"/>
        <v>-12.501921480616105</v>
      </c>
      <c r="AG103" s="23"/>
      <c r="AH103" s="22">
        <v>208.4</v>
      </c>
      <c r="AI103" s="10">
        <f t="shared" si="100"/>
        <v>270.5758157389635</v>
      </c>
      <c r="AJ103" s="20">
        <v>56388</v>
      </c>
      <c r="AK103" s="20">
        <v>55824</v>
      </c>
      <c r="AL103" s="23">
        <f t="shared" si="101"/>
        <v>3.1070651098357445</v>
      </c>
      <c r="AM103" s="23">
        <f t="shared" si="101"/>
        <v>-4.746605571534289</v>
      </c>
      <c r="AN103" s="23">
        <f t="shared" si="101"/>
        <v>-1.7870205873131937</v>
      </c>
      <c r="AO103" s="23">
        <f t="shared" si="101"/>
        <v>-1.92723248010401</v>
      </c>
      <c r="AP103" s="23"/>
      <c r="AQ103" s="22">
        <v>211.19</v>
      </c>
      <c r="AR103" s="10">
        <f>AS103/AQ103</f>
        <v>315.706236090724</v>
      </c>
      <c r="AS103" s="20">
        <v>66674</v>
      </c>
      <c r="AT103" s="20">
        <v>66442</v>
      </c>
      <c r="AU103" s="23">
        <f t="shared" si="115"/>
        <v>1.3387715930902147</v>
      </c>
      <c r="AV103" s="23">
        <f t="shared" si="116"/>
        <v>16.679399165260136</v>
      </c>
      <c r="AW103" s="23">
        <f t="shared" si="117"/>
        <v>18.241469816272968</v>
      </c>
      <c r="AX103" s="23">
        <f t="shared" si="118"/>
        <v>17.830034759168612</v>
      </c>
      <c r="AY103" s="23"/>
      <c r="AZ103" s="22">
        <v>227.07</v>
      </c>
      <c r="BA103" s="10">
        <f>BB103/AZ103</f>
        <v>343.19372880609507</v>
      </c>
      <c r="BB103" s="20">
        <v>77929</v>
      </c>
      <c r="BC103" s="20">
        <v>77776</v>
      </c>
      <c r="BD103" s="23">
        <f t="shared" si="102"/>
        <v>7.519295421184722</v>
      </c>
      <c r="BE103" s="23">
        <f t="shared" si="103"/>
        <v>8.706667646397719</v>
      </c>
      <c r="BF103" s="23">
        <f t="shared" si="104"/>
        <v>16.880643129255787</v>
      </c>
      <c r="BG103" s="23">
        <f t="shared" si="97"/>
        <v>16.65116837147913</v>
      </c>
      <c r="BH103" s="23"/>
      <c r="BI103" s="22">
        <v>220.44</v>
      </c>
      <c r="BJ103" s="10">
        <f>BK103/BI103</f>
        <v>325.5761204863001</v>
      </c>
      <c r="BK103" s="20">
        <v>71770</v>
      </c>
      <c r="BL103" s="20">
        <v>78860</v>
      </c>
      <c r="BM103" s="23">
        <f t="shared" si="105"/>
        <v>-2.9198044655832973</v>
      </c>
      <c r="BN103" s="23">
        <f t="shared" si="106"/>
        <v>-5.133429559183156</v>
      </c>
      <c r="BO103" s="23">
        <f t="shared" si="107"/>
        <v>-7.9033479192598435</v>
      </c>
      <c r="BP103" s="23">
        <f t="shared" si="98"/>
        <v>1.1946772061748447</v>
      </c>
      <c r="BQ103" s="23"/>
      <c r="BR103" s="22">
        <v>236.51</v>
      </c>
      <c r="BS103" s="10">
        <f>BT103/BR103</f>
        <v>339.83341084943555</v>
      </c>
      <c r="BT103" s="20">
        <v>80374</v>
      </c>
      <c r="BU103" s="20">
        <v>79535</v>
      </c>
      <c r="BV103" s="23">
        <f t="shared" si="108"/>
        <v>7.289965523498452</v>
      </c>
      <c r="BW103" s="23">
        <f t="shared" si="109"/>
        <v>4.379095844572348</v>
      </c>
      <c r="BX103" s="23">
        <f t="shared" si="110"/>
        <v>11.988295945381083</v>
      </c>
      <c r="BY103" s="23">
        <f t="shared" si="99"/>
        <v>10.819283823324511</v>
      </c>
      <c r="BZ103" s="22"/>
      <c r="CA103" s="10" t="e">
        <f>CB103/BZ103</f>
        <v>#DIV/0!</v>
      </c>
      <c r="CB103" s="20"/>
      <c r="CC103" s="20"/>
      <c r="CD103" s="23">
        <f t="shared" si="114"/>
        <v>-100</v>
      </c>
      <c r="CE103" s="23" t="e">
        <f t="shared" si="111"/>
        <v>#DIV/0!</v>
      </c>
      <c r="CF103" s="23">
        <f t="shared" si="112"/>
        <v>-100</v>
      </c>
      <c r="CG103" s="23">
        <f t="shared" si="113"/>
        <v>-100</v>
      </c>
    </row>
    <row r="104" spans="1:85" ht="12">
      <c r="A104" s="1" t="s">
        <v>100</v>
      </c>
      <c r="B104" s="19">
        <f>B102+B103</f>
        <v>6649.26</v>
      </c>
      <c r="C104" s="10">
        <f t="shared" si="92"/>
        <v>146.62112776459335</v>
      </c>
      <c r="D104" s="9">
        <f>D103+D102</f>
        <v>974922</v>
      </c>
      <c r="E104" s="9">
        <f>E103+E102</f>
        <v>926640</v>
      </c>
      <c r="F104" s="8"/>
      <c r="G104" s="19">
        <f>G102+G103</f>
        <v>7177.33</v>
      </c>
      <c r="H104" s="10">
        <f t="shared" si="93"/>
        <v>145.62114323850236</v>
      </c>
      <c r="I104" s="9">
        <f>I103+I102</f>
        <v>1045171</v>
      </c>
      <c r="J104" s="9">
        <f>J103+J102</f>
        <v>997411</v>
      </c>
      <c r="K104" s="23">
        <f t="shared" si="87"/>
        <v>7.941786003254492</v>
      </c>
      <c r="L104" s="23">
        <f t="shared" si="88"/>
        <v>-0.682019393341804</v>
      </c>
      <c r="M104" s="23">
        <f t="shared" si="89"/>
        <v>7.20560208919278</v>
      </c>
      <c r="N104" s="23">
        <f t="shared" si="90"/>
        <v>7.637378054044717</v>
      </c>
      <c r="O104" s="23"/>
      <c r="P104" s="36">
        <f>P102+P103</f>
        <v>6305.4</v>
      </c>
      <c r="Q104" s="10">
        <f t="shared" si="94"/>
        <v>149.6087480572208</v>
      </c>
      <c r="R104" s="9">
        <f>R103+R102</f>
        <v>943343</v>
      </c>
      <c r="S104" s="9">
        <f>S103+S102</f>
        <v>894426</v>
      </c>
      <c r="T104" s="23">
        <f t="shared" si="95"/>
        <v>-12.148389442870823</v>
      </c>
      <c r="U104" s="23">
        <f t="shared" si="95"/>
        <v>2.7383419262046544</v>
      </c>
      <c r="V104" s="23">
        <f t="shared" si="95"/>
        <v>-9.742711958138912</v>
      </c>
      <c r="W104" s="23">
        <f t="shared" si="95"/>
        <v>-10.32523202571457</v>
      </c>
      <c r="X104" s="23"/>
      <c r="Y104" s="19">
        <f>Y102+Y103</f>
        <v>6406.12</v>
      </c>
      <c r="Z104" s="10">
        <f t="shared" si="96"/>
        <v>149.5237366768028</v>
      </c>
      <c r="AA104" s="19">
        <f>AA102+AA103</f>
        <v>957867</v>
      </c>
      <c r="AB104" s="19">
        <f>AB102+AB103</f>
        <v>906077</v>
      </c>
      <c r="AC104" s="23">
        <f t="shared" si="91"/>
        <v>1.5973609921654486</v>
      </c>
      <c r="AD104" s="23">
        <f t="shared" si="91"/>
        <v>-0.05682246628083476</v>
      </c>
      <c r="AE104" s="23">
        <f t="shared" si="91"/>
        <v>1.5396308659734643</v>
      </c>
      <c r="AF104" s="23">
        <f t="shared" si="91"/>
        <v>1.3026231348373187</v>
      </c>
      <c r="AG104" s="23"/>
      <c r="AH104" s="19">
        <f>AH102+AH103</f>
        <v>6810.4</v>
      </c>
      <c r="AI104" s="10">
        <f t="shared" si="100"/>
        <v>145.35812874427347</v>
      </c>
      <c r="AJ104" s="19">
        <f>AJ102+AJ103</f>
        <v>989947</v>
      </c>
      <c r="AK104" s="19">
        <f>AK102+AK103</f>
        <v>948198</v>
      </c>
      <c r="AL104" s="23">
        <f t="shared" si="101"/>
        <v>6.310840259002333</v>
      </c>
      <c r="AM104" s="23">
        <f t="shared" si="101"/>
        <v>-2.7859174905007507</v>
      </c>
      <c r="AN104" s="23">
        <f t="shared" si="101"/>
        <v>3.349107965928468</v>
      </c>
      <c r="AO104" s="23">
        <f t="shared" si="101"/>
        <v>4.648721907740736</v>
      </c>
      <c r="AP104" s="23"/>
      <c r="AQ104" s="19">
        <f>AQ102+AQ103</f>
        <v>4862.19</v>
      </c>
      <c r="AR104" s="6" t="s">
        <v>1</v>
      </c>
      <c r="AS104" s="19">
        <f>AS102+AS103</f>
        <v>725579</v>
      </c>
      <c r="AT104" s="19">
        <f>AT102+AT103</f>
        <v>697523</v>
      </c>
      <c r="AU104" s="23">
        <f t="shared" si="115"/>
        <v>-28.606396100082236</v>
      </c>
      <c r="AV104" s="23" t="e">
        <f t="shared" si="116"/>
        <v>#VALUE!</v>
      </c>
      <c r="AW104" s="23">
        <f t="shared" si="117"/>
        <v>-26.70526805980522</v>
      </c>
      <c r="AX104" s="23">
        <f t="shared" si="118"/>
        <v>-29.539359177814575</v>
      </c>
      <c r="AY104" s="23"/>
      <c r="AZ104" s="19">
        <f>AZ102+AZ103</f>
        <v>6660.07</v>
      </c>
      <c r="BA104" s="6" t="s">
        <v>1</v>
      </c>
      <c r="BB104" s="19">
        <f>BB102+BB103</f>
        <v>935034</v>
      </c>
      <c r="BC104" s="19">
        <f>BC102+BC103</f>
        <v>901131</v>
      </c>
      <c r="BD104" s="23">
        <f t="shared" si="102"/>
        <v>36.976753273730566</v>
      </c>
      <c r="BE104" s="23" t="e">
        <f t="shared" si="103"/>
        <v>#VALUE!</v>
      </c>
      <c r="BF104" s="23">
        <f t="shared" si="104"/>
        <v>28.867290811889546</v>
      </c>
      <c r="BG104" s="23">
        <f t="shared" si="97"/>
        <v>24.194746540349158</v>
      </c>
      <c r="BH104" s="23"/>
      <c r="BI104" s="19">
        <f>BI102+BI103</f>
        <v>6574.44</v>
      </c>
      <c r="BJ104" s="6" t="s">
        <v>1</v>
      </c>
      <c r="BK104" s="19">
        <f>BK102+BK103</f>
        <v>996332</v>
      </c>
      <c r="BL104" s="19">
        <f>BL102+BL103</f>
        <v>974623</v>
      </c>
      <c r="BM104" s="23">
        <f t="shared" si="105"/>
        <v>-1.2857222221388014</v>
      </c>
      <c r="BN104" s="23" t="e">
        <f t="shared" si="106"/>
        <v>#VALUE!</v>
      </c>
      <c r="BO104" s="23">
        <f t="shared" si="107"/>
        <v>6.5556974398791965</v>
      </c>
      <c r="BP104" s="23">
        <f t="shared" si="98"/>
        <v>4.233963684743017</v>
      </c>
      <c r="BQ104" s="23"/>
      <c r="BR104" s="19">
        <f>BR102+BR103</f>
        <v>6460.51</v>
      </c>
      <c r="BS104" s="6" t="s">
        <v>1</v>
      </c>
      <c r="BT104" s="19">
        <f>BT102+BT103</f>
        <v>956892</v>
      </c>
      <c r="BU104" s="19">
        <f>BU102+BU103</f>
        <v>923846</v>
      </c>
      <c r="BV104" s="23">
        <f t="shared" si="108"/>
        <v>-1.7329232603841547</v>
      </c>
      <c r="BW104" s="23" t="e">
        <f t="shared" si="109"/>
        <v>#VALUE!</v>
      </c>
      <c r="BX104" s="23">
        <f t="shared" si="110"/>
        <v>-3.9585198508127775</v>
      </c>
      <c r="BY104" s="23">
        <f t="shared" si="99"/>
        <v>-7.275285748124119</v>
      </c>
      <c r="BZ104" s="19">
        <f>BZ102+BZ103</f>
        <v>0</v>
      </c>
      <c r="CA104" s="6" t="s">
        <v>1</v>
      </c>
      <c r="CB104" s="19">
        <f>CB102+CB103</f>
        <v>0</v>
      </c>
      <c r="CC104" s="19">
        <f>CC102+CC103</f>
        <v>0</v>
      </c>
      <c r="CD104" s="23">
        <f t="shared" si="114"/>
        <v>-100</v>
      </c>
      <c r="CE104" s="23" t="e">
        <f t="shared" si="111"/>
        <v>#VALUE!</v>
      </c>
      <c r="CF104" s="23">
        <f t="shared" si="112"/>
        <v>-100</v>
      </c>
      <c r="CG104" s="23">
        <f t="shared" si="113"/>
        <v>-100</v>
      </c>
    </row>
    <row r="105" spans="1:85" ht="12">
      <c r="A105" s="1" t="s">
        <v>101</v>
      </c>
      <c r="B105" s="22">
        <v>463.7</v>
      </c>
      <c r="C105" s="10">
        <f t="shared" si="92"/>
        <v>250.62540435626482</v>
      </c>
      <c r="D105" s="11">
        <v>116215</v>
      </c>
      <c r="E105" s="11">
        <v>115674</v>
      </c>
      <c r="G105" s="22">
        <v>503.39</v>
      </c>
      <c r="H105" s="10">
        <f t="shared" si="93"/>
        <v>271.4158008701007</v>
      </c>
      <c r="I105" s="11">
        <v>136628</v>
      </c>
      <c r="J105" s="11">
        <v>135979</v>
      </c>
      <c r="K105" s="23">
        <f t="shared" si="87"/>
        <v>8.559413413845164</v>
      </c>
      <c r="L105" s="23">
        <f t="shared" si="88"/>
        <v>8.295406671656593</v>
      </c>
      <c r="M105" s="23">
        <f t="shared" si="89"/>
        <v>17.564858236888526</v>
      </c>
      <c r="N105" s="23">
        <f t="shared" si="90"/>
        <v>17.553642132199116</v>
      </c>
      <c r="O105" s="25"/>
      <c r="P105" s="22">
        <v>521.13</v>
      </c>
      <c r="Q105" s="10">
        <f t="shared" si="94"/>
        <v>274.5994281657168</v>
      </c>
      <c r="R105" s="11">
        <v>143102</v>
      </c>
      <c r="S105" s="11">
        <v>142491</v>
      </c>
      <c r="T105" s="23">
        <f t="shared" si="95"/>
        <v>3.5241065575398807</v>
      </c>
      <c r="U105" s="23">
        <f t="shared" si="95"/>
        <v>1.1729705070265197</v>
      </c>
      <c r="V105" s="23">
        <f t="shared" si="95"/>
        <v>4.738413795122526</v>
      </c>
      <c r="W105" s="23">
        <f t="shared" si="95"/>
        <v>4.788974768162731</v>
      </c>
      <c r="X105" s="23"/>
      <c r="Y105" s="22">
        <v>509.67</v>
      </c>
      <c r="Z105" s="10">
        <f t="shared" si="96"/>
        <v>278.30360821708166</v>
      </c>
      <c r="AA105" s="20">
        <v>141843</v>
      </c>
      <c r="AB105" s="20">
        <v>139140</v>
      </c>
      <c r="AC105" s="23">
        <f t="shared" si="91"/>
        <v>-2.199067411202577</v>
      </c>
      <c r="AD105" s="23">
        <f t="shared" si="91"/>
        <v>1.3489394628780644</v>
      </c>
      <c r="AE105" s="23">
        <f t="shared" si="91"/>
        <v>-0.8797920364495297</v>
      </c>
      <c r="AF105" s="23">
        <f t="shared" si="91"/>
        <v>-2.3517274775248893</v>
      </c>
      <c r="AG105" s="23"/>
      <c r="AH105" s="22">
        <v>515.15</v>
      </c>
      <c r="AI105" s="10">
        <f t="shared" si="100"/>
        <v>279.39823352421627</v>
      </c>
      <c r="AJ105" s="20">
        <v>143932</v>
      </c>
      <c r="AK105" s="20">
        <v>139503</v>
      </c>
      <c r="AL105" s="23">
        <f t="shared" si="101"/>
        <v>1.0752055251437156</v>
      </c>
      <c r="AM105" s="23">
        <f t="shared" si="101"/>
        <v>0.393320558848373</v>
      </c>
      <c r="AN105" s="23">
        <f t="shared" si="101"/>
        <v>1.4727550883723524</v>
      </c>
      <c r="AO105" s="23">
        <f t="shared" si="101"/>
        <v>0.2608883139284188</v>
      </c>
      <c r="AP105" s="23"/>
      <c r="AQ105" s="22">
        <v>512.05</v>
      </c>
      <c r="AR105" s="10">
        <f>AS105/AQ105</f>
        <v>278.8692510497022</v>
      </c>
      <c r="AS105" s="20">
        <v>142795</v>
      </c>
      <c r="AT105" s="20">
        <v>142140</v>
      </c>
      <c r="AU105" s="23">
        <f t="shared" si="115"/>
        <v>-0.6017664757837622</v>
      </c>
      <c r="AV105" s="23">
        <f t="shared" si="116"/>
        <v>-0.18932921222932464</v>
      </c>
      <c r="AW105" s="23">
        <f t="shared" si="117"/>
        <v>-0.7899563682850186</v>
      </c>
      <c r="AX105" s="23">
        <f t="shared" si="118"/>
        <v>-1.245032376399962</v>
      </c>
      <c r="AY105" s="23"/>
      <c r="AZ105" s="22">
        <v>489.59</v>
      </c>
      <c r="BA105" s="10">
        <f>BB105/AZ105</f>
        <v>318.5236626565085</v>
      </c>
      <c r="BB105" s="20">
        <v>155946</v>
      </c>
      <c r="BC105" s="20">
        <v>155506</v>
      </c>
      <c r="BD105" s="23">
        <f t="shared" si="102"/>
        <v>-4.386290401327983</v>
      </c>
      <c r="BE105" s="23">
        <f t="shared" si="103"/>
        <v>14.219714600136683</v>
      </c>
      <c r="BF105" s="23">
        <f t="shared" si="104"/>
        <v>9.209706222206663</v>
      </c>
      <c r="BG105" s="23">
        <f t="shared" si="97"/>
        <v>8.9015721839</v>
      </c>
      <c r="BH105" s="23"/>
      <c r="BI105" s="22">
        <v>468.68</v>
      </c>
      <c r="BJ105" s="10">
        <f>BK105/BI105</f>
        <v>329.954339848084</v>
      </c>
      <c r="BK105" s="20">
        <v>154643</v>
      </c>
      <c r="BL105" s="20">
        <v>153103</v>
      </c>
      <c r="BM105" s="23">
        <f t="shared" si="105"/>
        <v>-4.270920566188025</v>
      </c>
      <c r="BN105" s="23">
        <f t="shared" si="106"/>
        <v>3.5886430214455203</v>
      </c>
      <c r="BO105" s="23">
        <f t="shared" si="107"/>
        <v>-0.835545637592503</v>
      </c>
      <c r="BP105" s="23">
        <f t="shared" si="98"/>
        <v>-1.8230669590755753</v>
      </c>
      <c r="BQ105" s="23"/>
      <c r="BR105" s="22">
        <v>442.59</v>
      </c>
      <c r="BS105" s="10">
        <f>BT105/BR105</f>
        <v>303.40043832892746</v>
      </c>
      <c r="BT105" s="20">
        <v>134282</v>
      </c>
      <c r="BU105" s="20">
        <v>132066</v>
      </c>
      <c r="BV105" s="23">
        <f t="shared" si="108"/>
        <v>-5.566697960228723</v>
      </c>
      <c r="BW105" s="23">
        <f t="shared" si="109"/>
        <v>-8.047750343693721</v>
      </c>
      <c r="BX105" s="23">
        <f t="shared" si="110"/>
        <v>-13.166454349695755</v>
      </c>
      <c r="BY105" s="23">
        <f t="shared" si="99"/>
        <v>-14.599432240709248</v>
      </c>
      <c r="BZ105" s="22"/>
      <c r="CA105" s="10" t="e">
        <f>CB105/BZ105</f>
        <v>#DIV/0!</v>
      </c>
      <c r="CB105" s="20"/>
      <c r="CC105" s="20"/>
      <c r="CD105" s="23">
        <f t="shared" si="114"/>
        <v>-100</v>
      </c>
      <c r="CE105" s="23" t="e">
        <f t="shared" si="111"/>
        <v>#DIV/0!</v>
      </c>
      <c r="CF105" s="23">
        <f t="shared" si="112"/>
        <v>-100</v>
      </c>
      <c r="CG105" s="23">
        <f t="shared" si="113"/>
        <v>-100</v>
      </c>
    </row>
    <row r="106" spans="1:85" ht="12">
      <c r="A106" s="1" t="s">
        <v>102</v>
      </c>
      <c r="B106" s="20">
        <v>14300</v>
      </c>
      <c r="C106" s="10">
        <f t="shared" si="92"/>
        <v>251.9434965034965</v>
      </c>
      <c r="D106" s="11">
        <v>3602792</v>
      </c>
      <c r="E106" s="11">
        <v>3510391</v>
      </c>
      <c r="F106" s="8"/>
      <c r="G106" s="20">
        <v>13936</v>
      </c>
      <c r="H106" s="10">
        <f t="shared" si="93"/>
        <v>245.1904420206659</v>
      </c>
      <c r="I106" s="11">
        <v>3416974</v>
      </c>
      <c r="J106" s="11">
        <v>3315888</v>
      </c>
      <c r="K106" s="23">
        <f t="shared" si="87"/>
        <v>-2.5454545454545467</v>
      </c>
      <c r="L106" s="23">
        <f t="shared" si="88"/>
        <v>-2.680384521351158</v>
      </c>
      <c r="M106" s="23">
        <f t="shared" si="89"/>
        <v>-5.157611097171298</v>
      </c>
      <c r="N106" s="23">
        <f t="shared" si="90"/>
        <v>-5.540778790738699</v>
      </c>
      <c r="O106" s="23"/>
      <c r="P106" s="20">
        <v>13671</v>
      </c>
      <c r="Q106" s="10">
        <f t="shared" si="94"/>
        <v>244.72269768122302</v>
      </c>
      <c r="R106" s="11">
        <v>3345604</v>
      </c>
      <c r="S106" s="11">
        <v>3229176</v>
      </c>
      <c r="T106" s="23">
        <f t="shared" si="95"/>
        <v>-1.9015499425947127</v>
      </c>
      <c r="U106" s="23">
        <f t="shared" si="95"/>
        <v>-0.19076777038618786</v>
      </c>
      <c r="V106" s="23">
        <f t="shared" si="95"/>
        <v>-2.0886901685526453</v>
      </c>
      <c r="W106" s="23">
        <f t="shared" si="95"/>
        <v>-2.6150461052966847</v>
      </c>
      <c r="X106" s="23"/>
      <c r="Y106" s="20">
        <v>14281</v>
      </c>
      <c r="Z106" s="10">
        <f t="shared" si="96"/>
        <v>251.6827252993488</v>
      </c>
      <c r="AA106" s="20">
        <v>3594281</v>
      </c>
      <c r="AB106" s="20">
        <v>3489490</v>
      </c>
      <c r="AC106" s="23">
        <f t="shared" si="91"/>
        <v>4.461999853704924</v>
      </c>
      <c r="AD106" s="23">
        <f t="shared" si="91"/>
        <v>2.844046622594817</v>
      </c>
      <c r="AE106" s="23">
        <f t="shared" si="91"/>
        <v>7.4329478324392255</v>
      </c>
      <c r="AF106" s="23">
        <f t="shared" si="91"/>
        <v>8.061313474397181</v>
      </c>
      <c r="AG106" s="23"/>
      <c r="AH106" s="20">
        <v>14286</v>
      </c>
      <c r="AI106" s="10">
        <f t="shared" si="100"/>
        <v>258.6363572728545</v>
      </c>
      <c r="AJ106" s="20">
        <v>3694879</v>
      </c>
      <c r="AK106" s="20">
        <v>3573721</v>
      </c>
      <c r="AL106" s="23">
        <f t="shared" si="101"/>
        <v>0.03501155381275112</v>
      </c>
      <c r="AM106" s="23">
        <f t="shared" si="101"/>
        <v>2.7628562767806812</v>
      </c>
      <c r="AN106" s="23">
        <f t="shared" si="101"/>
        <v>2.798835149505564</v>
      </c>
      <c r="AO106" s="23">
        <f t="shared" si="101"/>
        <v>2.413848442035942</v>
      </c>
      <c r="AP106" s="23"/>
      <c r="AQ106" s="20">
        <v>13038</v>
      </c>
      <c r="AR106" s="10">
        <f>AS106/AQ106</f>
        <v>258.7874674029759</v>
      </c>
      <c r="AS106" s="20">
        <v>3374071</v>
      </c>
      <c r="AT106" s="20">
        <v>3172017</v>
      </c>
      <c r="AU106" s="23">
        <f t="shared" si="115"/>
        <v>-8.735825283494336</v>
      </c>
      <c r="AV106" s="23">
        <f t="shared" si="116"/>
        <v>0.05842571079902825</v>
      </c>
      <c r="AW106" s="23">
        <f t="shared" si="117"/>
        <v>-8.682503540711352</v>
      </c>
      <c r="AX106" s="23">
        <f t="shared" si="118"/>
        <v>-14.15099114206447</v>
      </c>
      <c r="AY106" s="23"/>
      <c r="AZ106" s="20">
        <v>13728</v>
      </c>
      <c r="BA106" s="10">
        <f>BB106/AZ106</f>
        <v>245.7073135198135</v>
      </c>
      <c r="BB106" s="20">
        <v>3373070</v>
      </c>
      <c r="BC106" s="20">
        <v>3241885</v>
      </c>
      <c r="BD106" s="23">
        <f t="shared" si="102"/>
        <v>5.292222733548087</v>
      </c>
      <c r="BE106" s="23">
        <f t="shared" si="103"/>
        <v>-5.054400050522688</v>
      </c>
      <c r="BF106" s="23">
        <f t="shared" si="104"/>
        <v>-0.029667425492817756</v>
      </c>
      <c r="BG106" s="23">
        <f t="shared" si="97"/>
        <v>-3.9177006055889194</v>
      </c>
      <c r="BH106" s="23"/>
      <c r="BI106" s="20">
        <v>14609</v>
      </c>
      <c r="BJ106" s="10">
        <f>BK106/BI106</f>
        <v>243.1954274762133</v>
      </c>
      <c r="BK106" s="20">
        <v>3552842</v>
      </c>
      <c r="BL106" s="20">
        <v>3421930</v>
      </c>
      <c r="BM106" s="23">
        <f t="shared" si="105"/>
        <v>6.417540792540791</v>
      </c>
      <c r="BN106" s="23">
        <f t="shared" si="106"/>
        <v>-1.0223082120010503</v>
      </c>
      <c r="BO106" s="23">
        <f t="shared" si="107"/>
        <v>5.329625534009082</v>
      </c>
      <c r="BP106" s="23">
        <f t="shared" si="98"/>
        <v>1.44853204943864</v>
      </c>
      <c r="BQ106" s="23"/>
      <c r="BR106" s="20">
        <v>14273</v>
      </c>
      <c r="BS106" s="10">
        <f>BT106/BR106</f>
        <v>249.669445806768</v>
      </c>
      <c r="BT106" s="20">
        <v>3563532</v>
      </c>
      <c r="BU106" s="20">
        <v>3321767</v>
      </c>
      <c r="BV106" s="23">
        <f t="shared" si="108"/>
        <v>-2.2999520843315793</v>
      </c>
      <c r="BW106" s="23">
        <f t="shared" si="109"/>
        <v>2.6620641669703815</v>
      </c>
      <c r="BX106" s="23">
        <f t="shared" si="110"/>
        <v>0.3008858823443319</v>
      </c>
      <c r="BY106" s="23">
        <f t="shared" si="99"/>
        <v>-6.503948106895834</v>
      </c>
      <c r="BZ106" s="20">
        <v>14416</v>
      </c>
      <c r="CA106" s="10">
        <f>CB106/BZ106</f>
        <v>247.01151498335184</v>
      </c>
      <c r="CB106" s="20">
        <v>3560918</v>
      </c>
      <c r="CC106" s="20">
        <v>3395745</v>
      </c>
      <c r="CD106" s="23">
        <f t="shared" si="114"/>
        <v>1.0018916835984015</v>
      </c>
      <c r="CE106" s="23">
        <f t="shared" si="111"/>
        <v>-1.0645799348124</v>
      </c>
      <c r="CF106" s="23">
        <f t="shared" si="112"/>
        <v>-0.07335418904614244</v>
      </c>
      <c r="CG106" s="23">
        <f t="shared" si="113"/>
        <v>2.2270677022199266</v>
      </c>
    </row>
    <row r="107" spans="1:85" ht="12">
      <c r="A107" s="1" t="s">
        <v>103</v>
      </c>
      <c r="B107" s="22">
        <v>2726.08</v>
      </c>
      <c r="C107" s="10">
        <f t="shared" si="92"/>
        <v>703.0486999647846</v>
      </c>
      <c r="D107" s="11">
        <v>1916567</v>
      </c>
      <c r="E107" s="11">
        <v>1808661</v>
      </c>
      <c r="F107" s="8"/>
      <c r="G107" s="22">
        <v>2646.03</v>
      </c>
      <c r="H107" s="10">
        <f t="shared" si="93"/>
        <v>754.4597000034013</v>
      </c>
      <c r="I107" s="11">
        <v>1996323</v>
      </c>
      <c r="J107" s="11">
        <v>1873751</v>
      </c>
      <c r="K107" s="23">
        <f t="shared" si="87"/>
        <v>-2.936450874515785</v>
      </c>
      <c r="L107" s="23">
        <f t="shared" si="88"/>
        <v>7.31258020122813</v>
      </c>
      <c r="M107" s="23">
        <f t="shared" si="89"/>
        <v>4.161399001443726</v>
      </c>
      <c r="N107" s="23">
        <f t="shared" si="90"/>
        <v>3.5987949096043934</v>
      </c>
      <c r="O107" s="23"/>
      <c r="P107" s="22">
        <v>2815.21</v>
      </c>
      <c r="Q107" s="10">
        <f t="shared" si="94"/>
        <v>700.5761559528419</v>
      </c>
      <c r="R107" s="11">
        <v>1972269</v>
      </c>
      <c r="S107" s="11">
        <v>1865735</v>
      </c>
      <c r="T107" s="23">
        <f t="shared" si="95"/>
        <v>6.393729473966658</v>
      </c>
      <c r="U107" s="23">
        <f t="shared" si="95"/>
        <v>-7.142004278070331</v>
      </c>
      <c r="V107" s="23">
        <f t="shared" si="95"/>
        <v>-1.2049152366626004</v>
      </c>
      <c r="W107" s="23">
        <f t="shared" si="95"/>
        <v>-0.42780497515411753</v>
      </c>
      <c r="X107" s="23"/>
      <c r="Y107" s="22">
        <v>2980.28</v>
      </c>
      <c r="Z107" s="10">
        <f t="shared" si="96"/>
        <v>577.7916840028454</v>
      </c>
      <c r="AA107" s="20">
        <v>1721981</v>
      </c>
      <c r="AB107" s="20">
        <v>1591261</v>
      </c>
      <c r="AC107" s="23">
        <f t="shared" si="91"/>
        <v>5.863505742022795</v>
      </c>
      <c r="AD107" s="23">
        <f t="shared" si="91"/>
        <v>-17.526213375475137</v>
      </c>
      <c r="AE107" s="23">
        <f t="shared" si="91"/>
        <v>-12.690358161082486</v>
      </c>
      <c r="AF107" s="23">
        <f t="shared" si="91"/>
        <v>-14.711306804020936</v>
      </c>
      <c r="AG107" s="23"/>
      <c r="AH107" s="22">
        <v>3784.77</v>
      </c>
      <c r="AI107" s="10">
        <f t="shared" si="100"/>
        <v>550.1787426977069</v>
      </c>
      <c r="AJ107" s="20">
        <v>2082300</v>
      </c>
      <c r="AK107" s="20">
        <v>1956980</v>
      </c>
      <c r="AL107" s="23">
        <f t="shared" si="101"/>
        <v>26.99377239722442</v>
      </c>
      <c r="AM107" s="23">
        <f t="shared" si="101"/>
        <v>-4.779047893843099</v>
      </c>
      <c r="AN107" s="23">
        <f t="shared" si="101"/>
        <v>20.924679192162984</v>
      </c>
      <c r="AO107" s="23">
        <f t="shared" si="101"/>
        <v>22.98296759613916</v>
      </c>
      <c r="AP107" s="23"/>
      <c r="AQ107" s="22">
        <v>3917.28</v>
      </c>
      <c r="AR107" s="10">
        <f>AS107/AQ107</f>
        <v>458.6276702201527</v>
      </c>
      <c r="AS107" s="20">
        <v>1796573</v>
      </c>
      <c r="AT107" s="20">
        <v>1678995</v>
      </c>
      <c r="AU107" s="23">
        <f t="shared" si="115"/>
        <v>3.501137453530859</v>
      </c>
      <c r="AV107" s="23">
        <f t="shared" si="116"/>
        <v>-16.640241683757026</v>
      </c>
      <c r="AW107" s="23">
        <f t="shared" si="117"/>
        <v>-13.72170196417423</v>
      </c>
      <c r="AX107" s="23">
        <f t="shared" si="118"/>
        <v>-19.368246650338563</v>
      </c>
      <c r="AY107" s="23"/>
      <c r="AZ107" s="22">
        <v>4282.52</v>
      </c>
      <c r="BA107" s="10">
        <f>BB107/AZ107</f>
        <v>441.1970055014337</v>
      </c>
      <c r="BB107" s="20">
        <v>1889435</v>
      </c>
      <c r="BC107" s="20">
        <v>1770381</v>
      </c>
      <c r="BD107" s="23">
        <f t="shared" si="102"/>
        <v>9.323816525752576</v>
      </c>
      <c r="BE107" s="23">
        <f t="shared" si="103"/>
        <v>-3.800613406154028</v>
      </c>
      <c r="BF107" s="23">
        <f t="shared" si="104"/>
        <v>5.168840898755576</v>
      </c>
      <c r="BG107" s="23">
        <f t="shared" si="97"/>
        <v>-1.4578867655252594</v>
      </c>
      <c r="BH107" s="23"/>
      <c r="BI107" s="22">
        <v>4325.17</v>
      </c>
      <c r="BJ107" s="10">
        <f>BK107/BI107</f>
        <v>481.10247689686184</v>
      </c>
      <c r="BK107" s="20">
        <v>2080850</v>
      </c>
      <c r="BL107" s="20">
        <v>1980258</v>
      </c>
      <c r="BM107" s="23">
        <f t="shared" si="105"/>
        <v>0.9959089508046617</v>
      </c>
      <c r="BN107" s="23">
        <f t="shared" si="106"/>
        <v>9.044819184589514</v>
      </c>
      <c r="BO107" s="23">
        <f t="shared" si="107"/>
        <v>10.130806299237605</v>
      </c>
      <c r="BP107" s="23">
        <f t="shared" si="98"/>
        <v>4.806886714811569</v>
      </c>
      <c r="BQ107" s="23"/>
      <c r="BR107" s="22">
        <v>4340.75</v>
      </c>
      <c r="BS107" s="10">
        <f>BT107/BR107</f>
        <v>486.9188504290733</v>
      </c>
      <c r="BT107" s="20">
        <v>2113593</v>
      </c>
      <c r="BU107" s="20">
        <v>2013186</v>
      </c>
      <c r="BV107" s="23">
        <f t="shared" si="108"/>
        <v>0.36021705505217483</v>
      </c>
      <c r="BW107" s="23">
        <f t="shared" si="109"/>
        <v>1.2089676963892089</v>
      </c>
      <c r="BX107" s="23">
        <f t="shared" si="110"/>
        <v>1.5735396592738482</v>
      </c>
      <c r="BY107" s="23">
        <f t="shared" si="99"/>
        <v>-3.251748083715796</v>
      </c>
      <c r="BZ107" s="22"/>
      <c r="CA107" s="10" t="e">
        <f>CB107/BZ107</f>
        <v>#DIV/0!</v>
      </c>
      <c r="CB107" s="20"/>
      <c r="CC107" s="20"/>
      <c r="CD107" s="23">
        <f t="shared" si="114"/>
        <v>-100</v>
      </c>
      <c r="CE107" s="23" t="e">
        <f t="shared" si="111"/>
        <v>#DIV/0!</v>
      </c>
      <c r="CF107" s="23">
        <f t="shared" si="112"/>
        <v>-100</v>
      </c>
      <c r="CG107" s="23">
        <f t="shared" si="113"/>
        <v>-100</v>
      </c>
    </row>
    <row r="108" spans="1:85" ht="12">
      <c r="A108" s="1" t="s">
        <v>104</v>
      </c>
      <c r="B108" s="19">
        <f>B106+B107</f>
        <v>17026.08</v>
      </c>
      <c r="C108" s="10">
        <f t="shared" si="92"/>
        <v>324.17086023324214</v>
      </c>
      <c r="D108" s="9">
        <f>D107+D106</f>
        <v>5519359</v>
      </c>
      <c r="E108" s="9">
        <f>E107+E106</f>
        <v>5319052</v>
      </c>
      <c r="F108" s="8"/>
      <c r="G108" s="19">
        <f>G106+G107</f>
        <v>16582.03</v>
      </c>
      <c r="H108" s="10">
        <f t="shared" si="93"/>
        <v>326.4556269648529</v>
      </c>
      <c r="I108" s="9">
        <f>I107+I106</f>
        <v>5413297</v>
      </c>
      <c r="J108" s="9">
        <f>J107+J106</f>
        <v>5189639</v>
      </c>
      <c r="K108" s="23">
        <f aca="true" t="shared" si="119" ref="K108:K116">G108*100/B108-100</f>
        <v>-2.608057756101232</v>
      </c>
      <c r="L108" s="24" t="s">
        <v>1</v>
      </c>
      <c r="M108" s="24" t="s">
        <v>1</v>
      </c>
      <c r="N108" s="23">
        <f aca="true" t="shared" si="120" ref="N108:N116">J108*100/E108-100</f>
        <v>-2.433008739151262</v>
      </c>
      <c r="O108" s="23"/>
      <c r="P108" s="19">
        <f>P106+P107</f>
        <v>16486.21</v>
      </c>
      <c r="Q108" s="10">
        <f t="shared" si="94"/>
        <v>322.56491940840255</v>
      </c>
      <c r="R108" s="9">
        <f>R107+R106</f>
        <v>5317873</v>
      </c>
      <c r="S108" s="9">
        <f>S107+S106</f>
        <v>5094911</v>
      </c>
      <c r="T108" s="23">
        <f t="shared" si="95"/>
        <v>-0.577854460521408</v>
      </c>
      <c r="U108" s="23">
        <f t="shared" si="95"/>
        <v>-1.1918028776600806</v>
      </c>
      <c r="V108" s="23">
        <f t="shared" si="95"/>
        <v>-1.762770452092326</v>
      </c>
      <c r="W108" s="23">
        <f t="shared" si="95"/>
        <v>-1.8253292762752835</v>
      </c>
      <c r="X108" s="23"/>
      <c r="Y108" s="19">
        <f>Y106+Y107</f>
        <v>17261.28</v>
      </c>
      <c r="Z108" s="10">
        <f t="shared" si="96"/>
        <v>307.98770427222087</v>
      </c>
      <c r="AA108" s="19">
        <f>AA106+AA107</f>
        <v>5316262</v>
      </c>
      <c r="AB108" s="19">
        <f>AB106+AB107</f>
        <v>5080751</v>
      </c>
      <c r="AC108" s="23">
        <f t="shared" si="91"/>
        <v>4.701323105795694</v>
      </c>
      <c r="AD108" s="23">
        <f t="shared" si="91"/>
        <v>-4.519157000369688</v>
      </c>
      <c r="AE108" s="23">
        <f t="shared" si="91"/>
        <v>-0.030294066819578802</v>
      </c>
      <c r="AF108" s="23">
        <f t="shared" si="91"/>
        <v>-0.2779243837625387</v>
      </c>
      <c r="AG108" s="23"/>
      <c r="AH108" s="19">
        <f>AH106+AH107</f>
        <v>18070.77</v>
      </c>
      <c r="AI108" s="10">
        <f t="shared" si="100"/>
        <v>319.6974451005685</v>
      </c>
      <c r="AJ108" s="19">
        <f>AJ106+AJ107</f>
        <v>5777179</v>
      </c>
      <c r="AK108" s="19">
        <f>AK106+AK107</f>
        <v>5530701</v>
      </c>
      <c r="AL108" s="23">
        <f t="shared" si="101"/>
        <v>4.689629042573912</v>
      </c>
      <c r="AM108" s="23">
        <f t="shared" si="101"/>
        <v>3.8020156863138084</v>
      </c>
      <c r="AN108" s="23">
        <f t="shared" si="101"/>
        <v>8.66994516071631</v>
      </c>
      <c r="AO108" s="23">
        <f t="shared" si="101"/>
        <v>8.855974244752403</v>
      </c>
      <c r="AP108" s="23"/>
      <c r="AQ108" s="19">
        <f>AQ106+AQ107</f>
        <v>16955.28</v>
      </c>
      <c r="AR108" s="6" t="s">
        <v>1</v>
      </c>
      <c r="AS108" s="19">
        <f>AS106+AS107</f>
        <v>5170644</v>
      </c>
      <c r="AT108" s="19">
        <f>AT106+AT107</f>
        <v>4851012</v>
      </c>
      <c r="AU108" s="23">
        <f t="shared" si="115"/>
        <v>-6.172896893712888</v>
      </c>
      <c r="AV108" s="23" t="e">
        <f t="shared" si="116"/>
        <v>#VALUE!</v>
      </c>
      <c r="AW108" s="23">
        <f t="shared" si="117"/>
        <v>-10.498809193898964</v>
      </c>
      <c r="AX108" s="23">
        <f t="shared" si="118"/>
        <v>-16.03147487727142</v>
      </c>
      <c r="AY108" s="23"/>
      <c r="AZ108" s="19">
        <f>AZ106+AZ107</f>
        <v>18010.52</v>
      </c>
      <c r="BA108" s="6" t="s">
        <v>1</v>
      </c>
      <c r="BB108" s="19">
        <f>BB106+BB107</f>
        <v>5262505</v>
      </c>
      <c r="BC108" s="19">
        <f>BC106+BC107</f>
        <v>5012266</v>
      </c>
      <c r="BD108" s="23">
        <f t="shared" si="102"/>
        <v>6.223666020260367</v>
      </c>
      <c r="BE108" s="23" t="e">
        <f t="shared" si="103"/>
        <v>#VALUE!</v>
      </c>
      <c r="BF108" s="23">
        <f t="shared" si="104"/>
        <v>1.776587210413254</v>
      </c>
      <c r="BG108" s="23">
        <f t="shared" si="97"/>
        <v>-3.063022710517302</v>
      </c>
      <c r="BH108" s="23"/>
      <c r="BI108" s="19">
        <f>BI106+BI107</f>
        <v>18934.17</v>
      </c>
      <c r="BJ108" s="6" t="s">
        <v>1</v>
      </c>
      <c r="BK108" s="19">
        <f>BK106+BK107</f>
        <v>5633692</v>
      </c>
      <c r="BL108" s="19">
        <f>BL106+BL107</f>
        <v>5402188</v>
      </c>
      <c r="BM108" s="23">
        <f t="shared" si="105"/>
        <v>5.12839162889243</v>
      </c>
      <c r="BN108" s="23" t="e">
        <f t="shared" si="106"/>
        <v>#VALUE!</v>
      </c>
      <c r="BO108" s="23">
        <f t="shared" si="107"/>
        <v>7.05342797774064</v>
      </c>
      <c r="BP108" s="23">
        <f t="shared" si="98"/>
        <v>2.6543062666923873</v>
      </c>
      <c r="BQ108" s="23"/>
      <c r="BR108" s="19">
        <f>BR106+BR107</f>
        <v>18613.75</v>
      </c>
      <c r="BS108" s="6" t="s">
        <v>1</v>
      </c>
      <c r="BT108" s="19">
        <f>BT106+BT107</f>
        <v>5677125</v>
      </c>
      <c r="BU108" s="19">
        <f>BU106+BU107</f>
        <v>5334953</v>
      </c>
      <c r="BV108" s="23">
        <f t="shared" si="108"/>
        <v>-1.6922843726447923</v>
      </c>
      <c r="BW108" s="23" t="e">
        <f t="shared" si="109"/>
        <v>#VALUE!</v>
      </c>
      <c r="BX108" s="23">
        <f t="shared" si="110"/>
        <v>0.7709509146044837</v>
      </c>
      <c r="BY108" s="23">
        <f t="shared" si="99"/>
        <v>-5.3027215545329796</v>
      </c>
      <c r="BZ108" s="19">
        <f>BZ106+BZ107</f>
        <v>14416</v>
      </c>
      <c r="CA108" s="6" t="s">
        <v>1</v>
      </c>
      <c r="CB108" s="19">
        <f>CB106+CB107</f>
        <v>3560918</v>
      </c>
      <c r="CC108" s="19">
        <f>CC106+CC107</f>
        <v>3395745</v>
      </c>
      <c r="CD108" s="23">
        <f t="shared" si="114"/>
        <v>-22.551876972668055</v>
      </c>
      <c r="CE108" s="23" t="e">
        <f t="shared" si="111"/>
        <v>#VALUE!</v>
      </c>
      <c r="CF108" s="23">
        <f t="shared" si="112"/>
        <v>-37.27603320342603</v>
      </c>
      <c r="CG108" s="23">
        <f t="shared" si="113"/>
        <v>-36.34911122928356</v>
      </c>
    </row>
    <row r="109" spans="1:85" ht="12">
      <c r="A109" s="1" t="s">
        <v>151</v>
      </c>
      <c r="B109" s="20">
        <v>67225</v>
      </c>
      <c r="C109" s="10">
        <f t="shared" si="92"/>
        <v>565.9290145035329</v>
      </c>
      <c r="D109" s="11">
        <v>38044578</v>
      </c>
      <c r="E109" s="11">
        <v>34732509</v>
      </c>
      <c r="F109" s="8"/>
      <c r="G109" s="20">
        <v>61173</v>
      </c>
      <c r="H109" s="10">
        <f t="shared" si="93"/>
        <v>628.6746113481438</v>
      </c>
      <c r="I109" s="11">
        <v>38457912</v>
      </c>
      <c r="J109" s="11">
        <v>35208552</v>
      </c>
      <c r="K109" s="23">
        <f t="shared" si="119"/>
        <v>-9.002603198214956</v>
      </c>
      <c r="L109" s="23">
        <f aca="true" t="shared" si="121" ref="L109:M116">H109*100/C109-100</f>
        <v>11.087185006701787</v>
      </c>
      <c r="M109" s="23">
        <f t="shared" si="121"/>
        <v>1.086446536481489</v>
      </c>
      <c r="N109" s="23">
        <f t="shared" si="120"/>
        <v>1.3705977877958588</v>
      </c>
      <c r="O109" s="23"/>
      <c r="P109" s="20">
        <v>60614</v>
      </c>
      <c r="Q109" s="10">
        <f t="shared" si="94"/>
        <v>590.2867324380506</v>
      </c>
      <c r="R109" s="11">
        <v>35779640</v>
      </c>
      <c r="S109" s="11">
        <v>33076809</v>
      </c>
      <c r="T109" s="23">
        <f t="shared" si="95"/>
        <v>-0.9138018406813444</v>
      </c>
      <c r="U109" s="23">
        <f t="shared" si="95"/>
        <v>-6.106160200707535</v>
      </c>
      <c r="V109" s="23">
        <f t="shared" si="95"/>
        <v>-6.964163837079866</v>
      </c>
      <c r="W109" s="23">
        <f t="shared" si="95"/>
        <v>-6.054617071443317</v>
      </c>
      <c r="X109" s="23"/>
      <c r="Y109" s="20">
        <v>62266</v>
      </c>
      <c r="Z109" s="10">
        <f t="shared" si="96"/>
        <v>643.8487778241737</v>
      </c>
      <c r="AA109" s="20">
        <v>40089888</v>
      </c>
      <c r="AB109" s="20">
        <v>35498711</v>
      </c>
      <c r="AC109" s="23">
        <f t="shared" si="91"/>
        <v>2.725442966971329</v>
      </c>
      <c r="AD109" s="23">
        <f t="shared" si="91"/>
        <v>9.07390297676126</v>
      </c>
      <c r="AE109" s="23">
        <f t="shared" si="91"/>
        <v>12.046649994242529</v>
      </c>
      <c r="AF109" s="23">
        <f t="shared" si="91"/>
        <v>7.322054554899779</v>
      </c>
      <c r="AG109" s="23"/>
      <c r="AH109" s="20">
        <v>45545</v>
      </c>
      <c r="AI109" s="10">
        <f t="shared" si="100"/>
        <v>605.6705456142276</v>
      </c>
      <c r="AJ109" s="20">
        <v>27585265</v>
      </c>
      <c r="AK109" s="20">
        <v>25011587</v>
      </c>
      <c r="AL109" s="23">
        <f t="shared" si="101"/>
        <v>-26.854141907300928</v>
      </c>
      <c r="AM109" s="23">
        <f t="shared" si="101"/>
        <v>-5.929689319123312</v>
      </c>
      <c r="AN109" s="23">
        <f t="shared" si="101"/>
        <v>-31.19146404200481</v>
      </c>
      <c r="AO109" s="23">
        <f t="shared" si="101"/>
        <v>-29.54226704175258</v>
      </c>
      <c r="AP109" s="23"/>
      <c r="AQ109" s="20">
        <v>53514</v>
      </c>
      <c r="AR109" s="10">
        <f aca="true" t="shared" si="122" ref="AR109:AR116">AS109/AQ109</f>
        <v>534.5287588294652</v>
      </c>
      <c r="AS109" s="20">
        <v>28604772</v>
      </c>
      <c r="AT109" s="20">
        <v>24924656</v>
      </c>
      <c r="AU109" s="23">
        <f t="shared" si="115"/>
        <v>17.49698100779449</v>
      </c>
      <c r="AV109" s="23">
        <f t="shared" si="116"/>
        <v>-11.745954512715414</v>
      </c>
      <c r="AW109" s="23">
        <f t="shared" si="117"/>
        <v>3.695839064805071</v>
      </c>
      <c r="AX109" s="23">
        <f t="shared" si="118"/>
        <v>-9.645036942730115</v>
      </c>
      <c r="AY109" s="23"/>
      <c r="AZ109" s="20">
        <v>40712</v>
      </c>
      <c r="BA109" s="10">
        <f aca="true" t="shared" si="123" ref="BA109:BA116">BB109/AZ109</f>
        <v>593.2709766162311</v>
      </c>
      <c r="BB109" s="20">
        <v>24153248</v>
      </c>
      <c r="BC109" s="20">
        <v>21593810</v>
      </c>
      <c r="BD109" s="23">
        <f t="shared" si="102"/>
        <v>-23.922711813730984</v>
      </c>
      <c r="BE109" s="23">
        <f t="shared" si="103"/>
        <v>10.989533643690606</v>
      </c>
      <c r="BF109" s="23">
        <f t="shared" si="104"/>
        <v>-15.5621726332935</v>
      </c>
      <c r="BG109" s="23">
        <f t="shared" si="97"/>
        <v>-24.50976361566525</v>
      </c>
      <c r="BH109" s="23"/>
      <c r="BI109" s="20">
        <v>51986</v>
      </c>
      <c r="BJ109" s="10">
        <f aca="true" t="shared" si="124" ref="BJ109:BJ116">BK109/BI109</f>
        <v>826.3017350825222</v>
      </c>
      <c r="BK109" s="20">
        <v>42956122</v>
      </c>
      <c r="BL109" s="20">
        <v>37844347</v>
      </c>
      <c r="BM109" s="23">
        <f t="shared" si="105"/>
        <v>27.69208095893103</v>
      </c>
      <c r="BN109" s="23">
        <f t="shared" si="106"/>
        <v>39.27897497959546</v>
      </c>
      <c r="BO109" s="23">
        <f t="shared" si="107"/>
        <v>77.84822148971435</v>
      </c>
      <c r="BP109" s="23">
        <f t="shared" si="98"/>
        <v>56.68429769776719</v>
      </c>
      <c r="BQ109" s="23"/>
      <c r="BR109" s="20">
        <v>38124</v>
      </c>
      <c r="BS109" s="10">
        <f aca="true" t="shared" si="125" ref="BS109:BS116">BT109/BR109</f>
        <v>643.9829503724687</v>
      </c>
      <c r="BT109" s="20">
        <v>24551206</v>
      </c>
      <c r="BU109" s="20">
        <v>21838781</v>
      </c>
      <c r="BV109" s="23">
        <f t="shared" si="108"/>
        <v>-26.664871311506943</v>
      </c>
      <c r="BW109" s="23">
        <f t="shared" si="109"/>
        <v>-22.064432031217436</v>
      </c>
      <c r="BX109" s="23">
        <f t="shared" si="110"/>
        <v>-42.84585093598533</v>
      </c>
      <c r="BY109" s="23">
        <f t="shared" si="99"/>
        <v>-49.16025939213041</v>
      </c>
      <c r="BZ109" s="20"/>
      <c r="CA109" s="10" t="e">
        <f aca="true" t="shared" si="126" ref="CA109:CA116">CB109/BZ109</f>
        <v>#DIV/0!</v>
      </c>
      <c r="CB109" s="20"/>
      <c r="CC109" s="20"/>
      <c r="CD109" s="23">
        <f t="shared" si="114"/>
        <v>-100</v>
      </c>
      <c r="CE109" s="23" t="e">
        <f t="shared" si="111"/>
        <v>#DIV/0!</v>
      </c>
      <c r="CF109" s="23">
        <f t="shared" si="112"/>
        <v>-100</v>
      </c>
      <c r="CG109" s="23">
        <f t="shared" si="113"/>
        <v>-100</v>
      </c>
    </row>
    <row r="110" spans="1:85" ht="12">
      <c r="A110" s="1" t="s">
        <v>106</v>
      </c>
      <c r="B110" s="20">
        <v>130335</v>
      </c>
      <c r="C110" s="10">
        <f t="shared" si="92"/>
        <v>31.357701308167414</v>
      </c>
      <c r="D110" s="11">
        <v>4087006</v>
      </c>
      <c r="E110" s="11">
        <v>4084908</v>
      </c>
      <c r="F110" s="8"/>
      <c r="G110" s="20">
        <v>107795</v>
      </c>
      <c r="H110" s="10">
        <f t="shared" si="93"/>
        <v>32.81792290922584</v>
      </c>
      <c r="I110" s="11">
        <v>3537608</v>
      </c>
      <c r="J110" s="11">
        <v>3462450</v>
      </c>
      <c r="K110" s="23">
        <f t="shared" si="119"/>
        <v>-17.29389649748724</v>
      </c>
      <c r="L110" s="23">
        <f t="shared" si="121"/>
        <v>4.656660214688955</v>
      </c>
      <c r="M110" s="23">
        <f t="shared" si="121"/>
        <v>-13.442554280566256</v>
      </c>
      <c r="N110" s="23">
        <f t="shared" si="120"/>
        <v>-15.237993120040898</v>
      </c>
      <c r="O110" s="23"/>
      <c r="P110" s="20">
        <v>134704</v>
      </c>
      <c r="Q110" s="10">
        <f t="shared" si="94"/>
        <v>34.897701627271644</v>
      </c>
      <c r="R110" s="11">
        <v>4700860</v>
      </c>
      <c r="S110" s="11">
        <v>4682277</v>
      </c>
      <c r="T110" s="23">
        <f t="shared" si="95"/>
        <v>24.963124449185955</v>
      </c>
      <c r="U110" s="23">
        <f t="shared" si="95"/>
        <v>6.337325868545847</v>
      </c>
      <c r="V110" s="23">
        <f t="shared" si="95"/>
        <v>32.88244486104736</v>
      </c>
      <c r="W110" s="23">
        <f t="shared" si="95"/>
        <v>35.23016938872763</v>
      </c>
      <c r="X110" s="23"/>
      <c r="Y110" s="20">
        <v>159511</v>
      </c>
      <c r="Z110" s="10">
        <f t="shared" si="96"/>
        <v>34.719304624759424</v>
      </c>
      <c r="AA110" s="20">
        <v>5538111</v>
      </c>
      <c r="AB110" s="20">
        <v>5524541</v>
      </c>
      <c r="AC110" s="23">
        <f t="shared" si="91"/>
        <v>18.415934196460384</v>
      </c>
      <c r="AD110" s="23">
        <f t="shared" si="91"/>
        <v>-0.5111998618637017</v>
      </c>
      <c r="AE110" s="23">
        <f t="shared" si="91"/>
        <v>17.81059210442345</v>
      </c>
      <c r="AF110" s="23">
        <f t="shared" si="91"/>
        <v>17.988341996853237</v>
      </c>
      <c r="AG110" s="23"/>
      <c r="AH110" s="20">
        <v>165955</v>
      </c>
      <c r="AI110" s="10">
        <f t="shared" si="100"/>
        <v>34.60174143593143</v>
      </c>
      <c r="AJ110" s="20">
        <v>5742332</v>
      </c>
      <c r="AK110" s="20">
        <v>5646381</v>
      </c>
      <c r="AL110" s="23">
        <f t="shared" si="101"/>
        <v>4.039846781726652</v>
      </c>
      <c r="AM110" s="23">
        <f t="shared" si="101"/>
        <v>-0.33861043617837083</v>
      </c>
      <c r="AN110" s="23">
        <f t="shared" si="101"/>
        <v>3.6875570027397373</v>
      </c>
      <c r="AO110" s="23">
        <f t="shared" si="101"/>
        <v>2.205432089290312</v>
      </c>
      <c r="AP110" s="23"/>
      <c r="AQ110" s="20">
        <v>152993</v>
      </c>
      <c r="AR110" s="10">
        <f t="shared" si="122"/>
        <v>27.63457805259064</v>
      </c>
      <c r="AS110" s="20">
        <v>4227897</v>
      </c>
      <c r="AT110" s="20">
        <v>4221298</v>
      </c>
      <c r="AU110" s="23">
        <f t="shared" si="115"/>
        <v>-7.8105510529962885</v>
      </c>
      <c r="AV110" s="23">
        <f t="shared" si="116"/>
        <v>-20.13529693654634</v>
      </c>
      <c r="AW110" s="23">
        <f t="shared" si="117"/>
        <v>-26.373170342641288</v>
      </c>
      <c r="AX110" s="23">
        <f t="shared" si="118"/>
        <v>-26.488088811305232</v>
      </c>
      <c r="AY110" s="23"/>
      <c r="AZ110" s="20">
        <v>184146</v>
      </c>
      <c r="BA110" s="10">
        <f t="shared" si="123"/>
        <v>34.626611493054426</v>
      </c>
      <c r="BB110" s="20">
        <v>6376352</v>
      </c>
      <c r="BC110" s="20">
        <v>6243596</v>
      </c>
      <c r="BD110" s="23">
        <f t="shared" si="102"/>
        <v>20.362369520174127</v>
      </c>
      <c r="BE110" s="23">
        <f t="shared" si="103"/>
        <v>25.301755746577456</v>
      </c>
      <c r="BF110" s="23">
        <f t="shared" si="104"/>
        <v>50.816162266961555</v>
      </c>
      <c r="BG110" s="23">
        <f t="shared" si="97"/>
        <v>47.67616145804877</v>
      </c>
      <c r="BH110" s="23"/>
      <c r="BI110" s="20">
        <v>232867</v>
      </c>
      <c r="BJ110" s="10">
        <f t="shared" si="124"/>
        <v>41.12757926198216</v>
      </c>
      <c r="BK110" s="20">
        <v>9577256</v>
      </c>
      <c r="BL110" s="20">
        <v>9331399</v>
      </c>
      <c r="BM110" s="23">
        <f t="shared" si="105"/>
        <v>26.45781065024491</v>
      </c>
      <c r="BN110" s="23">
        <f t="shared" si="106"/>
        <v>18.774484388204527</v>
      </c>
      <c r="BO110" s="23">
        <f t="shared" si="107"/>
        <v>50.199612568440386</v>
      </c>
      <c r="BP110" s="23">
        <f t="shared" si="98"/>
        <v>46.34384990038191</v>
      </c>
      <c r="BQ110" s="23"/>
      <c r="BR110" s="20">
        <v>308979</v>
      </c>
      <c r="BS110" s="10">
        <f t="shared" si="125"/>
        <v>36.82151214160186</v>
      </c>
      <c r="BT110" s="20">
        <v>11377074</v>
      </c>
      <c r="BU110" s="20">
        <v>11169821</v>
      </c>
      <c r="BV110" s="23">
        <f t="shared" si="108"/>
        <v>32.68475138168998</v>
      </c>
      <c r="BW110" s="23">
        <f t="shared" si="109"/>
        <v>-10.47002327307112</v>
      </c>
      <c r="BX110" s="23">
        <f t="shared" si="110"/>
        <v>18.792627032210476</v>
      </c>
      <c r="BY110" s="23">
        <f t="shared" si="99"/>
        <v>16.62861470968302</v>
      </c>
      <c r="BZ110" s="20">
        <v>299880</v>
      </c>
      <c r="CA110" s="10">
        <f t="shared" si="126"/>
        <v>38.04111978124583</v>
      </c>
      <c r="CB110" s="20">
        <v>11407771</v>
      </c>
      <c r="CC110" s="20">
        <v>11191835</v>
      </c>
      <c r="CD110" s="23">
        <f t="shared" si="114"/>
        <v>-2.944860330313716</v>
      </c>
      <c r="CE110" s="23">
        <f t="shared" si="111"/>
        <v>3.312214976272074</v>
      </c>
      <c r="CF110" s="23">
        <f t="shared" si="112"/>
        <v>0.26981454106741865</v>
      </c>
      <c r="CG110" s="23">
        <f t="shared" si="113"/>
        <v>0.19708462651281877</v>
      </c>
    </row>
    <row r="111" spans="1:85" ht="12">
      <c r="A111" s="1" t="s">
        <v>107</v>
      </c>
      <c r="B111" s="20">
        <v>126475</v>
      </c>
      <c r="C111" s="10">
        <f t="shared" si="92"/>
        <v>22.29700731369836</v>
      </c>
      <c r="D111" s="11">
        <v>2820014</v>
      </c>
      <c r="E111" s="11">
        <v>2774244</v>
      </c>
      <c r="F111" s="8"/>
      <c r="G111" s="20">
        <v>114482</v>
      </c>
      <c r="H111" s="10">
        <f t="shared" si="93"/>
        <v>23.013486836358553</v>
      </c>
      <c r="I111" s="11">
        <v>2634630</v>
      </c>
      <c r="J111" s="11">
        <v>2609267</v>
      </c>
      <c r="K111" s="23">
        <f t="shared" si="119"/>
        <v>-9.482506424194511</v>
      </c>
      <c r="L111" s="23">
        <f t="shared" si="121"/>
        <v>3.2133438922093234</v>
      </c>
      <c r="M111" s="23">
        <f t="shared" si="121"/>
        <v>-6.573868072995381</v>
      </c>
      <c r="N111" s="23">
        <f t="shared" si="120"/>
        <v>-5.946737201197877</v>
      </c>
      <c r="O111" s="23"/>
      <c r="P111" s="20">
        <v>124049</v>
      </c>
      <c r="Q111" s="10">
        <f t="shared" si="94"/>
        <v>16.368886488403778</v>
      </c>
      <c r="R111" s="11">
        <v>2030544</v>
      </c>
      <c r="S111" s="11">
        <v>1994374</v>
      </c>
      <c r="T111" s="23">
        <f t="shared" si="95"/>
        <v>8.3567722436715</v>
      </c>
      <c r="U111" s="23">
        <f t="shared" si="95"/>
        <v>-28.872636272818525</v>
      </c>
      <c r="V111" s="23">
        <f t="shared" si="95"/>
        <v>-22.928684483210162</v>
      </c>
      <c r="W111" s="23">
        <f t="shared" si="95"/>
        <v>-23.565737044158382</v>
      </c>
      <c r="X111" s="23"/>
      <c r="Y111" s="20">
        <v>100475</v>
      </c>
      <c r="Z111" s="10">
        <f t="shared" si="96"/>
        <v>22.659835780044787</v>
      </c>
      <c r="AA111" s="20">
        <v>2276747</v>
      </c>
      <c r="AB111" s="20">
        <v>2129001</v>
      </c>
      <c r="AC111" s="23">
        <f t="shared" si="91"/>
        <v>-19.00378076405292</v>
      </c>
      <c r="AD111" s="23">
        <f t="shared" si="91"/>
        <v>38.43235944056249</v>
      </c>
      <c r="AE111" s="23">
        <f t="shared" si="91"/>
        <v>12.124977345972312</v>
      </c>
      <c r="AF111" s="23">
        <f t="shared" si="91"/>
        <v>6.75033870277089</v>
      </c>
      <c r="AG111" s="23"/>
      <c r="AH111" s="20">
        <v>118099</v>
      </c>
      <c r="AI111" s="10">
        <f t="shared" si="100"/>
        <v>23.467133506634266</v>
      </c>
      <c r="AJ111" s="20">
        <v>2771445</v>
      </c>
      <c r="AK111" s="20">
        <v>2745201</v>
      </c>
      <c r="AL111" s="23">
        <f t="shared" si="101"/>
        <v>17.540681761632243</v>
      </c>
      <c r="AM111" s="23">
        <f t="shared" si="101"/>
        <v>3.562681276359541</v>
      </c>
      <c r="AN111" s="23">
        <f t="shared" si="101"/>
        <v>21.728281622859285</v>
      </c>
      <c r="AO111" s="23">
        <f t="shared" si="101"/>
        <v>28.943152210825644</v>
      </c>
      <c r="AP111" s="23"/>
      <c r="AQ111" s="20">
        <v>111678</v>
      </c>
      <c r="AR111" s="10">
        <f t="shared" si="122"/>
        <v>17.098631780655097</v>
      </c>
      <c r="AS111" s="20">
        <v>1909541</v>
      </c>
      <c r="AT111" s="20">
        <v>1854943</v>
      </c>
      <c r="AU111" s="23">
        <f t="shared" si="115"/>
        <v>-5.436963903165989</v>
      </c>
      <c r="AV111" s="23">
        <f t="shared" si="116"/>
        <v>-27.13796179741665</v>
      </c>
      <c r="AW111" s="23">
        <f t="shared" si="117"/>
        <v>-31.09944451360211</v>
      </c>
      <c r="AX111" s="23">
        <f t="shared" si="118"/>
        <v>-33.069463763488</v>
      </c>
      <c r="AY111" s="23"/>
      <c r="AZ111" s="20">
        <v>127628</v>
      </c>
      <c r="BA111" s="10">
        <f t="shared" si="123"/>
        <v>22.585968596232803</v>
      </c>
      <c r="BB111" s="20">
        <v>2882602</v>
      </c>
      <c r="BC111" s="20">
        <v>2852327</v>
      </c>
      <c r="BD111" s="23">
        <f t="shared" si="102"/>
        <v>14.282132559680505</v>
      </c>
      <c r="BE111" s="23">
        <f t="shared" si="103"/>
        <v>32.09225677218174</v>
      </c>
      <c r="BF111" s="23">
        <f t="shared" si="104"/>
        <v>50.95784798545827</v>
      </c>
      <c r="BG111" s="23">
        <f t="shared" si="97"/>
        <v>49.37238844308658</v>
      </c>
      <c r="BH111" s="23"/>
      <c r="BI111" s="20">
        <v>111350</v>
      </c>
      <c r="BJ111" s="10">
        <f t="shared" si="124"/>
        <v>22.843870678042208</v>
      </c>
      <c r="BK111" s="20">
        <v>2543665</v>
      </c>
      <c r="BL111" s="20">
        <v>2503773</v>
      </c>
      <c r="BM111" s="23">
        <f t="shared" si="105"/>
        <v>-12.754254552292593</v>
      </c>
      <c r="BN111" s="23">
        <f t="shared" si="106"/>
        <v>1.1418685929299528</v>
      </c>
      <c r="BO111" s="23">
        <f t="shared" si="107"/>
        <v>-11.7580227863576</v>
      </c>
      <c r="BP111" s="23">
        <f t="shared" si="98"/>
        <v>-13.141911370352204</v>
      </c>
      <c r="BQ111" s="23"/>
      <c r="BR111" s="20">
        <v>114449</v>
      </c>
      <c r="BS111" s="10">
        <f t="shared" si="125"/>
        <v>21.951532997230206</v>
      </c>
      <c r="BT111" s="20">
        <v>2512331</v>
      </c>
      <c r="BU111" s="20">
        <v>2480074</v>
      </c>
      <c r="BV111" s="23">
        <f t="shared" si="108"/>
        <v>2.783116299955097</v>
      </c>
      <c r="BW111" s="23">
        <f t="shared" si="109"/>
        <v>-3.9062455456365655</v>
      </c>
      <c r="BX111" s="23">
        <f t="shared" si="110"/>
        <v>-1.2318446021783558</v>
      </c>
      <c r="BY111" s="23">
        <f t="shared" si="99"/>
        <v>-2.4999754291543894</v>
      </c>
      <c r="BZ111" s="20">
        <v>108102</v>
      </c>
      <c r="CA111" s="10">
        <f t="shared" si="126"/>
        <v>24.672577750642912</v>
      </c>
      <c r="CB111" s="20">
        <v>2667155</v>
      </c>
      <c r="CC111" s="20">
        <v>2617960</v>
      </c>
      <c r="CD111" s="23">
        <f t="shared" si="114"/>
        <v>-5.545701578869185</v>
      </c>
      <c r="CE111" s="23">
        <f t="shared" si="111"/>
        <v>12.39569352061217</v>
      </c>
      <c r="CF111" s="23">
        <f t="shared" si="112"/>
        <v>6.16256377045859</v>
      </c>
      <c r="CG111" s="23">
        <f t="shared" si="113"/>
        <v>5.559753458969368</v>
      </c>
    </row>
    <row r="112" spans="1:85" ht="12">
      <c r="A112" s="1" t="s">
        <v>108</v>
      </c>
      <c r="B112" s="20">
        <v>0</v>
      </c>
      <c r="C112" s="10" t="e">
        <f t="shared" si="92"/>
        <v>#DIV/0!</v>
      </c>
      <c r="D112" s="11">
        <v>0</v>
      </c>
      <c r="E112" s="11">
        <v>0</v>
      </c>
      <c r="F112" s="8"/>
      <c r="G112" s="20">
        <v>26085</v>
      </c>
      <c r="H112" s="10">
        <f t="shared" si="93"/>
        <v>35.48368794326241</v>
      </c>
      <c r="I112" s="11">
        <v>925592</v>
      </c>
      <c r="J112" s="11">
        <v>925592</v>
      </c>
      <c r="K112" s="23" t="e">
        <f t="shared" si="119"/>
        <v>#DIV/0!</v>
      </c>
      <c r="L112" s="23" t="e">
        <f t="shared" si="121"/>
        <v>#DIV/0!</v>
      </c>
      <c r="M112" s="23" t="e">
        <f t="shared" si="121"/>
        <v>#DIV/0!</v>
      </c>
      <c r="N112" s="23" t="e">
        <f t="shared" si="120"/>
        <v>#DIV/0!</v>
      </c>
      <c r="O112" s="23"/>
      <c r="P112" s="20">
        <v>28551</v>
      </c>
      <c r="Q112" s="10">
        <f t="shared" si="94"/>
        <v>34.253896536023255</v>
      </c>
      <c r="R112" s="11">
        <v>977983</v>
      </c>
      <c r="S112" s="11">
        <v>977983</v>
      </c>
      <c r="T112" s="23">
        <f t="shared" si="95"/>
        <v>9.453709028177116</v>
      </c>
      <c r="U112" s="23">
        <f t="shared" si="95"/>
        <v>-3.465793660471718</v>
      </c>
      <c r="V112" s="23">
        <f t="shared" si="95"/>
        <v>5.660269319527401</v>
      </c>
      <c r="W112" s="23">
        <f t="shared" si="95"/>
        <v>5.660269319527401</v>
      </c>
      <c r="X112" s="23"/>
      <c r="Y112" s="20">
        <v>27795</v>
      </c>
      <c r="Z112" s="10">
        <f t="shared" si="96"/>
        <v>31.278935060262636</v>
      </c>
      <c r="AA112" s="20">
        <v>869398</v>
      </c>
      <c r="AB112" s="20">
        <v>869398</v>
      </c>
      <c r="AC112" s="23">
        <f t="shared" si="91"/>
        <v>-2.6478932436692304</v>
      </c>
      <c r="AD112" s="23">
        <f t="shared" si="91"/>
        <v>-8.685030833300928</v>
      </c>
      <c r="AE112" s="23">
        <f t="shared" si="91"/>
        <v>-11.102953732324593</v>
      </c>
      <c r="AF112" s="23">
        <f t="shared" si="91"/>
        <v>-11.102953732324593</v>
      </c>
      <c r="AG112" s="23"/>
      <c r="AH112" s="20">
        <v>22432</v>
      </c>
      <c r="AI112" s="10">
        <f t="shared" si="100"/>
        <v>31.263195435092726</v>
      </c>
      <c r="AJ112" s="20">
        <v>701296</v>
      </c>
      <c r="AK112" s="20">
        <v>701296</v>
      </c>
      <c r="AL112" s="23">
        <f t="shared" si="101"/>
        <v>-19.29483720093542</v>
      </c>
      <c r="AM112" s="23">
        <f t="shared" si="101"/>
        <v>-0.05032020795972869</v>
      </c>
      <c r="AN112" s="23">
        <f t="shared" si="101"/>
        <v>-19.335448206690145</v>
      </c>
      <c r="AO112" s="23">
        <f t="shared" si="101"/>
        <v>-19.335448206690145</v>
      </c>
      <c r="AP112" s="23"/>
      <c r="AQ112" s="20">
        <v>14784</v>
      </c>
      <c r="AR112" s="10">
        <f t="shared" si="122"/>
        <v>34.23992153679654</v>
      </c>
      <c r="AS112" s="20">
        <v>506203</v>
      </c>
      <c r="AT112" s="20">
        <v>506203</v>
      </c>
      <c r="AU112" s="23">
        <f t="shared" si="115"/>
        <v>-34.0941512125535</v>
      </c>
      <c r="AV112" s="23">
        <f t="shared" si="116"/>
        <v>9.521503033443778</v>
      </c>
      <c r="AW112" s="23">
        <f t="shared" si="117"/>
        <v>-27.818923821039903</v>
      </c>
      <c r="AX112" s="23">
        <f t="shared" si="118"/>
        <v>-27.818923821039903</v>
      </c>
      <c r="AY112" s="23"/>
      <c r="AZ112" s="20">
        <v>16035</v>
      </c>
      <c r="BA112" s="10">
        <f t="shared" si="123"/>
        <v>31.038603055815404</v>
      </c>
      <c r="BB112" s="20">
        <v>497704</v>
      </c>
      <c r="BC112" s="20">
        <v>497704</v>
      </c>
      <c r="BD112" s="23">
        <f t="shared" si="102"/>
        <v>8.461850649350652</v>
      </c>
      <c r="BE112" s="23">
        <f t="shared" si="103"/>
        <v>-9.349666521696832</v>
      </c>
      <c r="BF112" s="23">
        <f t="shared" si="104"/>
        <v>-1.6789706896245207</v>
      </c>
      <c r="BG112" s="23">
        <f t="shared" si="97"/>
        <v>-1.6789706896245207</v>
      </c>
      <c r="BH112" s="23"/>
      <c r="BI112" s="20">
        <v>18436</v>
      </c>
      <c r="BJ112" s="10">
        <f t="shared" si="124"/>
        <v>29.249728791494903</v>
      </c>
      <c r="BK112" s="20">
        <v>539248</v>
      </c>
      <c r="BL112" s="20">
        <v>539248</v>
      </c>
      <c r="BM112" s="23">
        <f t="shared" si="105"/>
        <v>14.973495478640473</v>
      </c>
      <c r="BN112" s="23">
        <f t="shared" si="106"/>
        <v>-5.763385230655018</v>
      </c>
      <c r="BO112" s="23">
        <f t="shared" si="107"/>
        <v>8.3471300210567</v>
      </c>
      <c r="BP112" s="23">
        <f t="shared" si="98"/>
        <v>8.3471300210567</v>
      </c>
      <c r="BQ112" s="23"/>
      <c r="BR112" s="20"/>
      <c r="BS112" s="10" t="e">
        <f t="shared" si="125"/>
        <v>#DIV/0!</v>
      </c>
      <c r="BT112" s="20"/>
      <c r="BU112" s="20"/>
      <c r="BV112" s="23">
        <f t="shared" si="108"/>
        <v>-100</v>
      </c>
      <c r="BW112" s="23" t="e">
        <f t="shared" si="109"/>
        <v>#DIV/0!</v>
      </c>
      <c r="BX112" s="23">
        <f t="shared" si="110"/>
        <v>-100</v>
      </c>
      <c r="BY112" s="23">
        <f t="shared" si="99"/>
        <v>-100</v>
      </c>
      <c r="BZ112" s="20"/>
      <c r="CA112" s="10" t="e">
        <f t="shared" si="126"/>
        <v>#DIV/0!</v>
      </c>
      <c r="CB112" s="20"/>
      <c r="CC112" s="20"/>
      <c r="CD112" s="23" t="e">
        <f t="shared" si="114"/>
        <v>#DIV/0!</v>
      </c>
      <c r="CE112" s="23" t="e">
        <f t="shared" si="111"/>
        <v>#DIV/0!</v>
      </c>
      <c r="CF112" s="23" t="e">
        <f t="shared" si="112"/>
        <v>#DIV/0!</v>
      </c>
      <c r="CG112" s="23" t="e">
        <f t="shared" si="113"/>
        <v>#DIV/0!</v>
      </c>
    </row>
    <row r="113" spans="1:85" ht="12">
      <c r="A113" s="1" t="s">
        <v>109</v>
      </c>
      <c r="B113" s="20">
        <v>7065</v>
      </c>
      <c r="C113" s="10">
        <f t="shared" si="92"/>
        <v>21.577636234961076</v>
      </c>
      <c r="D113" s="11">
        <v>152446</v>
      </c>
      <c r="E113" s="11">
        <v>145662</v>
      </c>
      <c r="F113" s="8"/>
      <c r="G113" s="20">
        <v>12553</v>
      </c>
      <c r="H113" s="10">
        <f t="shared" si="93"/>
        <v>26.34334422050506</v>
      </c>
      <c r="I113" s="11">
        <v>330688</v>
      </c>
      <c r="J113" s="11">
        <v>326593</v>
      </c>
      <c r="K113" s="24">
        <f t="shared" si="119"/>
        <v>77.67869780608635</v>
      </c>
      <c r="L113" s="24">
        <f t="shared" si="121"/>
        <v>22.08633018765218</v>
      </c>
      <c r="M113" s="24">
        <f t="shared" si="121"/>
        <v>116.92140167665929</v>
      </c>
      <c r="N113" s="24">
        <f t="shared" si="120"/>
        <v>124.2129038458898</v>
      </c>
      <c r="O113" s="24"/>
      <c r="P113" s="20">
        <v>24545</v>
      </c>
      <c r="Q113" s="10">
        <f t="shared" si="94"/>
        <v>21.20057038093298</v>
      </c>
      <c r="R113" s="11">
        <v>520368</v>
      </c>
      <c r="S113" s="11">
        <v>502034</v>
      </c>
      <c r="T113" s="23">
        <f t="shared" si="95"/>
        <v>95.53094877718473</v>
      </c>
      <c r="U113" s="23">
        <f t="shared" si="95"/>
        <v>-19.522099383149154</v>
      </c>
      <c r="V113" s="23">
        <f t="shared" si="95"/>
        <v>57.359202632088255</v>
      </c>
      <c r="W113" s="23">
        <f t="shared" si="95"/>
        <v>53.718542650944755</v>
      </c>
      <c r="X113" s="23"/>
      <c r="Y113" s="20">
        <v>20219</v>
      </c>
      <c r="Z113" s="10">
        <f t="shared" si="96"/>
        <v>25.000593501162275</v>
      </c>
      <c r="AA113" s="20">
        <v>505487</v>
      </c>
      <c r="AB113" s="20">
        <v>498966</v>
      </c>
      <c r="AC113" s="23">
        <f t="shared" si="91"/>
        <v>-17.624770829089428</v>
      </c>
      <c r="AD113" s="23">
        <f t="shared" si="91"/>
        <v>17.92415511446285</v>
      </c>
      <c r="AE113" s="23">
        <f t="shared" si="91"/>
        <v>-2.8597069766011742</v>
      </c>
      <c r="AF113" s="23">
        <f t="shared" si="91"/>
        <v>-0.6111139882956138</v>
      </c>
      <c r="AG113" s="23"/>
      <c r="AH113" s="20">
        <v>18759</v>
      </c>
      <c r="AI113" s="10">
        <f t="shared" si="100"/>
        <v>23.732874886721042</v>
      </c>
      <c r="AJ113" s="20">
        <v>445205</v>
      </c>
      <c r="AK113" s="20">
        <v>439236</v>
      </c>
      <c r="AL113" s="23">
        <f t="shared" si="101"/>
        <v>-7.22093080765616</v>
      </c>
      <c r="AM113" s="23">
        <f t="shared" si="101"/>
        <v>-5.070754077827374</v>
      </c>
      <c r="AN113" s="23">
        <f t="shared" si="101"/>
        <v>-11.925529242097227</v>
      </c>
      <c r="AO113" s="23">
        <f t="shared" si="101"/>
        <v>-11.970755522420362</v>
      </c>
      <c r="AP113" s="23"/>
      <c r="AQ113" s="20">
        <v>10301</v>
      </c>
      <c r="AR113" s="10">
        <f t="shared" si="122"/>
        <v>24.60498980681487</v>
      </c>
      <c r="AS113" s="20">
        <v>253456</v>
      </c>
      <c r="AT113" s="20">
        <v>247253</v>
      </c>
      <c r="AU113" s="23">
        <f t="shared" si="115"/>
        <v>-45.08769124153739</v>
      </c>
      <c r="AV113" s="23">
        <f t="shared" si="116"/>
        <v>3.6747125000932357</v>
      </c>
      <c r="AW113" s="23">
        <f t="shared" si="117"/>
        <v>-43.069821767500365</v>
      </c>
      <c r="AX113" s="23">
        <f t="shared" si="118"/>
        <v>-44.463112498736535</v>
      </c>
      <c r="AY113" s="23"/>
      <c r="AZ113" s="20">
        <v>18550</v>
      </c>
      <c r="BA113" s="10">
        <f t="shared" si="123"/>
        <v>21.885822102425877</v>
      </c>
      <c r="BB113" s="20">
        <v>405982</v>
      </c>
      <c r="BC113" s="20">
        <v>399269</v>
      </c>
      <c r="BD113" s="23">
        <f t="shared" si="102"/>
        <v>80.07960392194931</v>
      </c>
      <c r="BE113" s="23">
        <f t="shared" si="103"/>
        <v>-11.05128563652508</v>
      </c>
      <c r="BF113" s="23">
        <f t="shared" si="104"/>
        <v>60.17849251941166</v>
      </c>
      <c r="BG113" s="23">
        <f t="shared" si="97"/>
        <v>57.52990657155482</v>
      </c>
      <c r="BH113" s="23"/>
      <c r="BI113" s="20">
        <v>16444</v>
      </c>
      <c r="BJ113" s="10">
        <f t="shared" si="124"/>
        <v>26.22968864023352</v>
      </c>
      <c r="BK113" s="20">
        <v>431321</v>
      </c>
      <c r="BL113" s="20">
        <v>412991</v>
      </c>
      <c r="BM113" s="23">
        <f t="shared" si="105"/>
        <v>-11.353099730458226</v>
      </c>
      <c r="BN113" s="23">
        <f t="shared" si="106"/>
        <v>19.84785637696541</v>
      </c>
      <c r="BO113" s="23">
        <f t="shared" si="107"/>
        <v>6.241409717672212</v>
      </c>
      <c r="BP113" s="23">
        <f t="shared" si="98"/>
        <v>1.7264312210886175</v>
      </c>
      <c r="BQ113" s="23"/>
      <c r="BR113" s="20">
        <v>12101</v>
      </c>
      <c r="BS113" s="10">
        <f t="shared" si="125"/>
        <v>23.62251053631931</v>
      </c>
      <c r="BT113" s="20">
        <v>285856</v>
      </c>
      <c r="BU113" s="20">
        <v>278484</v>
      </c>
      <c r="BV113" s="23">
        <f t="shared" si="108"/>
        <v>-26.410848941863293</v>
      </c>
      <c r="BW113" s="23">
        <f t="shared" si="109"/>
        <v>-9.939798141237091</v>
      </c>
      <c r="BX113" s="23">
        <f t="shared" si="110"/>
        <v>-33.725462010892116</v>
      </c>
      <c r="BY113" s="23">
        <f t="shared" si="99"/>
        <v>-35.43462989281764</v>
      </c>
      <c r="BZ113" s="20">
        <v>12847</v>
      </c>
      <c r="CA113" s="10">
        <f t="shared" si="126"/>
        <v>25.601463376663812</v>
      </c>
      <c r="CB113" s="20">
        <v>328902</v>
      </c>
      <c r="CC113" s="20">
        <v>324130</v>
      </c>
      <c r="CD113" s="23">
        <f t="shared" si="114"/>
        <v>6.164779770266918</v>
      </c>
      <c r="CE113" s="23">
        <f t="shared" si="111"/>
        <v>8.377402720603655</v>
      </c>
      <c r="CF113" s="23">
        <f t="shared" si="112"/>
        <v>15.058630919064143</v>
      </c>
      <c r="CG113" s="23">
        <f t="shared" si="113"/>
        <v>16.390887806839885</v>
      </c>
    </row>
    <row r="114" spans="1:85" ht="12">
      <c r="A114" s="1" t="s">
        <v>110</v>
      </c>
      <c r="B114" s="20">
        <v>303</v>
      </c>
      <c r="C114" s="10">
        <f t="shared" si="92"/>
        <v>11.976897689768977</v>
      </c>
      <c r="D114" s="11">
        <v>3629</v>
      </c>
      <c r="E114" s="11">
        <v>3628</v>
      </c>
      <c r="F114" s="8"/>
      <c r="G114" s="20">
        <v>78</v>
      </c>
      <c r="H114" s="10">
        <f t="shared" si="93"/>
        <v>14.64102564102564</v>
      </c>
      <c r="I114" s="11">
        <v>1142</v>
      </c>
      <c r="J114" s="11">
        <v>1141</v>
      </c>
      <c r="K114" s="25">
        <f t="shared" si="119"/>
        <v>-74.25742574257426</v>
      </c>
      <c r="L114" s="25">
        <f t="shared" si="121"/>
        <v>22.24389003115924</v>
      </c>
      <c r="M114" s="25">
        <f t="shared" si="121"/>
        <v>-68.53127583356297</v>
      </c>
      <c r="N114" s="25">
        <f t="shared" si="120"/>
        <v>-68.55016538037486</v>
      </c>
      <c r="O114" s="25"/>
      <c r="P114" s="11">
        <v>95</v>
      </c>
      <c r="Q114" s="41">
        <f t="shared" si="94"/>
        <v>35.421052631578945</v>
      </c>
      <c r="R114" s="11">
        <v>3365</v>
      </c>
      <c r="S114" s="11">
        <v>3365</v>
      </c>
      <c r="T114" s="23">
        <f t="shared" si="95"/>
        <v>21.794871794871796</v>
      </c>
      <c r="U114" s="23">
        <f t="shared" si="95"/>
        <v>141.93013180938334</v>
      </c>
      <c r="V114" s="23">
        <f t="shared" si="95"/>
        <v>194.65849387040282</v>
      </c>
      <c r="W114" s="23">
        <f t="shared" si="95"/>
        <v>194.91673970201578</v>
      </c>
      <c r="X114" s="23"/>
      <c r="Y114" s="20">
        <v>110</v>
      </c>
      <c r="Z114" s="10">
        <f t="shared" si="96"/>
        <v>33.64545454545455</v>
      </c>
      <c r="AA114" s="20">
        <v>3701</v>
      </c>
      <c r="AB114" s="20">
        <v>3701</v>
      </c>
      <c r="AC114" s="23">
        <f t="shared" si="91"/>
        <v>15.78947368421052</v>
      </c>
      <c r="AD114" s="23">
        <f t="shared" si="91"/>
        <v>-5.01283263541805</v>
      </c>
      <c r="AE114" s="23">
        <f t="shared" si="91"/>
        <v>9.985141158989592</v>
      </c>
      <c r="AF114" s="23">
        <f t="shared" si="91"/>
        <v>9.985141158989592</v>
      </c>
      <c r="AG114" s="23"/>
      <c r="AH114" s="20">
        <v>72</v>
      </c>
      <c r="AI114" s="10">
        <f t="shared" si="100"/>
        <v>34.541666666666664</v>
      </c>
      <c r="AJ114" s="20">
        <v>2487</v>
      </c>
      <c r="AK114" s="20">
        <v>2487</v>
      </c>
      <c r="AL114" s="23">
        <f t="shared" si="101"/>
        <v>-34.54545454545455</v>
      </c>
      <c r="AM114" s="23">
        <f t="shared" si="101"/>
        <v>2.663694496982785</v>
      </c>
      <c r="AN114" s="23">
        <f t="shared" si="101"/>
        <v>-32.80194542015671</v>
      </c>
      <c r="AO114" s="23">
        <f t="shared" si="101"/>
        <v>-32.80194542015671</v>
      </c>
      <c r="AP114" s="23"/>
      <c r="AQ114" s="20">
        <v>93</v>
      </c>
      <c r="AR114" s="10">
        <f t="shared" si="122"/>
        <v>33.29032258064516</v>
      </c>
      <c r="AS114" s="20">
        <v>3096</v>
      </c>
      <c r="AT114" s="20">
        <v>3086</v>
      </c>
      <c r="AU114" s="23">
        <f t="shared" si="115"/>
        <v>29.166666666666657</v>
      </c>
      <c r="AV114" s="23">
        <f t="shared" si="116"/>
        <v>-3.622709054827027</v>
      </c>
      <c r="AW114" s="23">
        <f t="shared" si="117"/>
        <v>24.487334137515077</v>
      </c>
      <c r="AX114" s="23">
        <f t="shared" si="118"/>
        <v>24.08524326497789</v>
      </c>
      <c r="AY114" s="23"/>
      <c r="AZ114" s="20">
        <v>92</v>
      </c>
      <c r="BA114" s="10">
        <f t="shared" si="123"/>
        <v>32.79347826086956</v>
      </c>
      <c r="BB114" s="20">
        <v>3017</v>
      </c>
      <c r="BC114" s="20">
        <v>3017</v>
      </c>
      <c r="BD114" s="23">
        <f t="shared" si="102"/>
        <v>-1.0752688172043037</v>
      </c>
      <c r="BE114" s="23">
        <f t="shared" si="103"/>
        <v>-1.4924587125042308</v>
      </c>
      <c r="BF114" s="23">
        <f t="shared" si="104"/>
        <v>-2.55167958656331</v>
      </c>
      <c r="BG114" s="23">
        <f t="shared" si="97"/>
        <v>-2.55167958656331</v>
      </c>
      <c r="BH114" s="23"/>
      <c r="BI114" s="20">
        <v>102</v>
      </c>
      <c r="BJ114" s="10">
        <f t="shared" si="124"/>
        <v>32.55882352941177</v>
      </c>
      <c r="BK114" s="20">
        <v>3321</v>
      </c>
      <c r="BL114" s="20">
        <v>3316</v>
      </c>
      <c r="BM114" s="23">
        <f t="shared" si="105"/>
        <v>10.869565217391298</v>
      </c>
      <c r="BN114" s="23">
        <f t="shared" si="106"/>
        <v>-0.7155530425627177</v>
      </c>
      <c r="BO114" s="23">
        <f t="shared" si="107"/>
        <v>10.076234670202183</v>
      </c>
      <c r="BP114" s="23">
        <f t="shared" si="98"/>
        <v>9.910507126284386</v>
      </c>
      <c r="BQ114" s="23"/>
      <c r="BR114" s="20">
        <v>140</v>
      </c>
      <c r="BS114" s="10">
        <f t="shared" si="125"/>
        <v>30.65</v>
      </c>
      <c r="BT114" s="20">
        <v>4291</v>
      </c>
      <c r="BU114" s="20">
        <v>4289</v>
      </c>
      <c r="BV114" s="23">
        <f t="shared" si="108"/>
        <v>37.25490196078431</v>
      </c>
      <c r="BW114" s="23">
        <f t="shared" si="109"/>
        <v>-5.8626919602529455</v>
      </c>
      <c r="BX114" s="23">
        <f t="shared" si="110"/>
        <v>29.208069858476364</v>
      </c>
      <c r="BY114" s="23">
        <f t="shared" si="99"/>
        <v>29.147847034025887</v>
      </c>
      <c r="BZ114" s="20"/>
      <c r="CA114" s="10" t="e">
        <f t="shared" si="126"/>
        <v>#DIV/0!</v>
      </c>
      <c r="CB114" s="20"/>
      <c r="CC114" s="20"/>
      <c r="CD114" s="23">
        <f t="shared" si="114"/>
        <v>-100</v>
      </c>
      <c r="CE114" s="23" t="e">
        <f t="shared" si="111"/>
        <v>#DIV/0!</v>
      </c>
      <c r="CF114" s="23">
        <f t="shared" si="112"/>
        <v>-100</v>
      </c>
      <c r="CG114" s="23">
        <f t="shared" si="113"/>
        <v>-100</v>
      </c>
    </row>
    <row r="115" spans="1:85" ht="12">
      <c r="A115" s="1" t="s">
        <v>111</v>
      </c>
      <c r="B115" s="20">
        <v>423</v>
      </c>
      <c r="C115" s="10">
        <f t="shared" si="92"/>
        <v>28.04728132387707</v>
      </c>
      <c r="D115" s="11">
        <v>11864</v>
      </c>
      <c r="E115" s="11">
        <v>11864</v>
      </c>
      <c r="F115" s="8"/>
      <c r="G115" s="20">
        <v>316</v>
      </c>
      <c r="H115" s="10">
        <f t="shared" si="93"/>
        <v>32.84177215189873</v>
      </c>
      <c r="I115" s="11">
        <v>10378</v>
      </c>
      <c r="J115" s="11">
        <v>10378</v>
      </c>
      <c r="K115" s="25">
        <f t="shared" si="119"/>
        <v>-25.29550827423168</v>
      </c>
      <c r="L115" s="25">
        <f t="shared" si="121"/>
        <v>17.094315747245133</v>
      </c>
      <c r="M115" s="25">
        <f t="shared" si="121"/>
        <v>-12.525286581254221</v>
      </c>
      <c r="N115" s="25">
        <f t="shared" si="120"/>
        <v>-12.525286581254221</v>
      </c>
      <c r="O115" s="25"/>
      <c r="P115" s="20">
        <v>43</v>
      </c>
      <c r="Q115" s="10">
        <f t="shared" si="94"/>
        <v>61.48837209302326</v>
      </c>
      <c r="R115" s="11">
        <v>2644</v>
      </c>
      <c r="S115" s="11">
        <v>2644</v>
      </c>
      <c r="T115" s="23">
        <f t="shared" si="95"/>
        <v>-86.39240506329114</v>
      </c>
      <c r="U115" s="23">
        <f t="shared" si="95"/>
        <v>87.22610889762336</v>
      </c>
      <c r="V115" s="23">
        <f t="shared" si="95"/>
        <v>-74.52302948545</v>
      </c>
      <c r="W115" s="23">
        <f t="shared" si="95"/>
        <v>-74.52302948545</v>
      </c>
      <c r="X115" s="23"/>
      <c r="Y115" s="20">
        <v>41</v>
      </c>
      <c r="Z115" s="10">
        <f t="shared" si="96"/>
        <v>61.73170731707317</v>
      </c>
      <c r="AA115" s="20">
        <v>2531</v>
      </c>
      <c r="AB115" s="20">
        <v>2521</v>
      </c>
      <c r="AC115" s="23">
        <f t="shared" si="91"/>
        <v>-4.6511627906976685</v>
      </c>
      <c r="AD115" s="23">
        <f t="shared" si="91"/>
        <v>0.3957418545441129</v>
      </c>
      <c r="AE115" s="23">
        <f t="shared" si="91"/>
        <v>-4.273827534039327</v>
      </c>
      <c r="AF115" s="23">
        <f t="shared" si="91"/>
        <v>-4.65204236006052</v>
      </c>
      <c r="AG115" s="23"/>
      <c r="AH115" s="20">
        <v>61</v>
      </c>
      <c r="AI115" s="10">
        <f t="shared" si="100"/>
        <v>73.1311475409836</v>
      </c>
      <c r="AJ115" s="20">
        <v>4461</v>
      </c>
      <c r="AK115" s="20">
        <v>4461</v>
      </c>
      <c r="AL115" s="23">
        <f t="shared" si="101"/>
        <v>48.78048780487805</v>
      </c>
      <c r="AM115" s="23">
        <f t="shared" si="101"/>
        <v>18.466102298709103</v>
      </c>
      <c r="AN115" s="23">
        <f t="shared" si="101"/>
        <v>76.25444488344527</v>
      </c>
      <c r="AO115" s="23">
        <f t="shared" si="101"/>
        <v>76.95358984529949</v>
      </c>
      <c r="AP115" s="23"/>
      <c r="AQ115" s="20">
        <v>9</v>
      </c>
      <c r="AR115" s="10">
        <f t="shared" si="122"/>
        <v>50</v>
      </c>
      <c r="AS115" s="20">
        <v>450</v>
      </c>
      <c r="AT115" s="20">
        <v>450</v>
      </c>
      <c r="AU115" s="23">
        <f t="shared" si="115"/>
        <v>-85.24590163934427</v>
      </c>
      <c r="AV115" s="23">
        <f t="shared" si="116"/>
        <v>-31.62967944407083</v>
      </c>
      <c r="AW115" s="23">
        <f t="shared" si="117"/>
        <v>-89.91257565568259</v>
      </c>
      <c r="AX115" s="23">
        <f t="shared" si="118"/>
        <v>-89.91257565568259</v>
      </c>
      <c r="AY115" s="23"/>
      <c r="AZ115" s="20">
        <v>27</v>
      </c>
      <c r="BA115" s="10">
        <f t="shared" si="123"/>
        <v>61.48148148148148</v>
      </c>
      <c r="BB115" s="20">
        <v>1660</v>
      </c>
      <c r="BC115" s="20">
        <v>1658</v>
      </c>
      <c r="BD115" s="23">
        <f t="shared" si="102"/>
        <v>200</v>
      </c>
      <c r="BE115" s="23">
        <f t="shared" si="103"/>
        <v>22.962962962962962</v>
      </c>
      <c r="BF115" s="23">
        <f t="shared" si="104"/>
        <v>268.8888888888889</v>
      </c>
      <c r="BG115" s="23">
        <f t="shared" si="97"/>
        <v>268.44444444444446</v>
      </c>
      <c r="BH115" s="23"/>
      <c r="BI115" s="20">
        <v>223</v>
      </c>
      <c r="BJ115" s="10">
        <f t="shared" si="124"/>
        <v>79.5964125560538</v>
      </c>
      <c r="BK115" s="20">
        <v>17750</v>
      </c>
      <c r="BL115" s="20">
        <v>17326</v>
      </c>
      <c r="BM115" s="23">
        <f t="shared" si="105"/>
        <v>725.925925925926</v>
      </c>
      <c r="BN115" s="23">
        <f t="shared" si="106"/>
        <v>29.4640445188827</v>
      </c>
      <c r="BO115" s="23">
        <f t="shared" si="107"/>
        <v>969.2771084337348</v>
      </c>
      <c r="BP115" s="23">
        <f t="shared" si="98"/>
        <v>943.7349397590363</v>
      </c>
      <c r="BQ115" s="23"/>
      <c r="BR115" s="20">
        <v>532</v>
      </c>
      <c r="BS115" s="10">
        <f t="shared" si="125"/>
        <v>60.7687969924812</v>
      </c>
      <c r="BT115" s="20">
        <v>32329</v>
      </c>
      <c r="BU115" s="20">
        <v>31543</v>
      </c>
      <c r="BV115" s="23">
        <f t="shared" si="108"/>
        <v>138.56502242152467</v>
      </c>
      <c r="BW115" s="23">
        <f t="shared" si="109"/>
        <v>-23.653849412263042</v>
      </c>
      <c r="BX115" s="23">
        <f t="shared" si="110"/>
        <v>82.13521126760563</v>
      </c>
      <c r="BY115" s="23">
        <f t="shared" si="99"/>
        <v>77.70704225352114</v>
      </c>
      <c r="BZ115" s="20"/>
      <c r="CA115" s="10" t="e">
        <f t="shared" si="126"/>
        <v>#DIV/0!</v>
      </c>
      <c r="CB115" s="20"/>
      <c r="CC115" s="20"/>
      <c r="CD115" s="23">
        <f t="shared" si="114"/>
        <v>-100</v>
      </c>
      <c r="CE115" s="23" t="e">
        <f t="shared" si="111"/>
        <v>#DIV/0!</v>
      </c>
      <c r="CF115" s="23">
        <f t="shared" si="112"/>
        <v>-100</v>
      </c>
      <c r="CG115" s="23">
        <f t="shared" si="113"/>
        <v>-100</v>
      </c>
    </row>
    <row r="116" spans="1:85" ht="12">
      <c r="A116" s="1" t="s">
        <v>133</v>
      </c>
      <c r="B116" s="20">
        <v>164</v>
      </c>
      <c r="C116" s="10">
        <f t="shared" si="92"/>
        <v>36.707317073170735</v>
      </c>
      <c r="D116" s="11">
        <v>6020</v>
      </c>
      <c r="E116" s="11">
        <v>6003</v>
      </c>
      <c r="F116" s="8"/>
      <c r="G116" s="20">
        <v>130</v>
      </c>
      <c r="H116" s="10">
        <f t="shared" si="93"/>
        <v>38.46153846153846</v>
      </c>
      <c r="I116" s="11">
        <v>5000</v>
      </c>
      <c r="J116" s="11">
        <v>5000</v>
      </c>
      <c r="K116" s="25">
        <f t="shared" si="119"/>
        <v>-20.731707317073173</v>
      </c>
      <c r="L116" s="25">
        <f t="shared" si="121"/>
        <v>4.7789419882442985</v>
      </c>
      <c r="M116" s="25">
        <f t="shared" si="121"/>
        <v>-16.943521594684384</v>
      </c>
      <c r="N116" s="25">
        <f t="shared" si="120"/>
        <v>-16.70831251041146</v>
      </c>
      <c r="O116" s="25"/>
      <c r="P116" s="20">
        <v>40</v>
      </c>
      <c r="Q116" s="10">
        <f t="shared" si="94"/>
        <v>35</v>
      </c>
      <c r="R116" s="11">
        <v>1400</v>
      </c>
      <c r="S116" s="11">
        <v>1400</v>
      </c>
      <c r="T116" s="23">
        <f t="shared" si="95"/>
        <v>-69.23076923076923</v>
      </c>
      <c r="U116" s="23">
        <f t="shared" si="95"/>
        <v>-9</v>
      </c>
      <c r="V116" s="23">
        <f t="shared" si="95"/>
        <v>-72</v>
      </c>
      <c r="W116" s="23">
        <f t="shared" si="95"/>
        <v>-72</v>
      </c>
      <c r="X116" s="23"/>
      <c r="Y116" s="20">
        <v>40</v>
      </c>
      <c r="Z116" s="10">
        <f t="shared" si="96"/>
        <v>35</v>
      </c>
      <c r="AA116" s="20">
        <v>1400</v>
      </c>
      <c r="AB116" s="20">
        <v>1400</v>
      </c>
      <c r="AC116" s="23">
        <f t="shared" si="91"/>
        <v>0</v>
      </c>
      <c r="AD116" s="23">
        <f t="shared" si="91"/>
        <v>0</v>
      </c>
      <c r="AE116" s="23">
        <f t="shared" si="91"/>
        <v>0</v>
      </c>
      <c r="AF116" s="23">
        <f t="shared" si="91"/>
        <v>0</v>
      </c>
      <c r="AG116" s="23"/>
      <c r="AH116" s="20">
        <v>40</v>
      </c>
      <c r="AI116" s="10">
        <f t="shared" si="100"/>
        <v>35</v>
      </c>
      <c r="AJ116" s="20">
        <v>1400</v>
      </c>
      <c r="AK116" s="20">
        <v>1400</v>
      </c>
      <c r="AL116" s="23">
        <f t="shared" si="101"/>
        <v>0</v>
      </c>
      <c r="AM116" s="23">
        <f t="shared" si="101"/>
        <v>0</v>
      </c>
      <c r="AN116" s="23">
        <f t="shared" si="101"/>
        <v>0</v>
      </c>
      <c r="AO116" s="23">
        <f t="shared" si="101"/>
        <v>0</v>
      </c>
      <c r="AP116" s="23"/>
      <c r="AQ116" s="20">
        <v>41</v>
      </c>
      <c r="AR116" s="10">
        <f t="shared" si="122"/>
        <v>25</v>
      </c>
      <c r="AS116" s="20">
        <v>1025</v>
      </c>
      <c r="AT116" s="20">
        <v>1023</v>
      </c>
      <c r="AU116" s="23">
        <f t="shared" si="115"/>
        <v>2.5</v>
      </c>
      <c r="AV116" s="23">
        <f t="shared" si="116"/>
        <v>-28.57142857142857</v>
      </c>
      <c r="AW116" s="23">
        <f t="shared" si="117"/>
        <v>-26.785714285714292</v>
      </c>
      <c r="AX116" s="23">
        <f t="shared" si="118"/>
        <v>-26.92857142857143</v>
      </c>
      <c r="AY116" s="23"/>
      <c r="AZ116" s="20"/>
      <c r="BA116" s="10" t="e">
        <f t="shared" si="123"/>
        <v>#DIV/0!</v>
      </c>
      <c r="BB116" s="20"/>
      <c r="BC116" s="20"/>
      <c r="BD116" s="23">
        <f t="shared" si="102"/>
        <v>-100</v>
      </c>
      <c r="BE116" s="23" t="e">
        <f t="shared" si="103"/>
        <v>#DIV/0!</v>
      </c>
      <c r="BF116" s="23">
        <f t="shared" si="104"/>
        <v>-100</v>
      </c>
      <c r="BG116" s="23">
        <f t="shared" si="97"/>
        <v>-100</v>
      </c>
      <c r="BH116" s="23"/>
      <c r="BI116" s="20">
        <v>3</v>
      </c>
      <c r="BJ116" s="10">
        <f t="shared" si="124"/>
        <v>20</v>
      </c>
      <c r="BK116" s="20">
        <v>60</v>
      </c>
      <c r="BL116" s="20">
        <v>45</v>
      </c>
      <c r="BM116" s="23" t="e">
        <f t="shared" si="105"/>
        <v>#DIV/0!</v>
      </c>
      <c r="BN116" s="23" t="e">
        <f t="shared" si="106"/>
        <v>#DIV/0!</v>
      </c>
      <c r="BO116" s="23" t="e">
        <f t="shared" si="107"/>
        <v>#DIV/0!</v>
      </c>
      <c r="BP116" s="23" t="e">
        <f t="shared" si="98"/>
        <v>#DIV/0!</v>
      </c>
      <c r="BQ116" s="23"/>
      <c r="BR116" s="20">
        <v>3</v>
      </c>
      <c r="BS116" s="10">
        <f t="shared" si="125"/>
        <v>19.333333333333332</v>
      </c>
      <c r="BT116" s="20">
        <v>58</v>
      </c>
      <c r="BU116" s="20">
        <v>43</v>
      </c>
      <c r="BV116" s="23">
        <f t="shared" si="108"/>
        <v>0</v>
      </c>
      <c r="BW116" s="23">
        <f t="shared" si="109"/>
        <v>-3.333333333333343</v>
      </c>
      <c r="BX116" s="23">
        <f t="shared" si="110"/>
        <v>-3.3333333333333286</v>
      </c>
      <c r="BY116" s="23">
        <f t="shared" si="99"/>
        <v>-28.33333333333333</v>
      </c>
      <c r="BZ116" s="20"/>
      <c r="CA116" s="10" t="e">
        <f t="shared" si="126"/>
        <v>#DIV/0!</v>
      </c>
      <c r="CB116" s="20"/>
      <c r="CC116" s="20"/>
      <c r="CD116" s="23">
        <f t="shared" si="114"/>
        <v>-100</v>
      </c>
      <c r="CE116" s="23" t="e">
        <f t="shared" si="111"/>
        <v>#DIV/0!</v>
      </c>
      <c r="CF116" s="23">
        <f t="shared" si="112"/>
        <v>-100</v>
      </c>
      <c r="CG116" s="23">
        <f t="shared" si="113"/>
        <v>-100</v>
      </c>
    </row>
    <row r="117" spans="1:85" ht="12">
      <c r="A117" s="1" t="s">
        <v>152</v>
      </c>
      <c r="B117" s="24" t="s">
        <v>1</v>
      </c>
      <c r="C117" s="24" t="s">
        <v>1</v>
      </c>
      <c r="D117" s="11">
        <v>868284</v>
      </c>
      <c r="E117" s="11">
        <v>859114</v>
      </c>
      <c r="F117" s="8"/>
      <c r="G117" s="24" t="s">
        <v>1</v>
      </c>
      <c r="H117" s="24" t="s">
        <v>1</v>
      </c>
      <c r="I117" s="11">
        <v>3423947</v>
      </c>
      <c r="J117" s="11">
        <v>3421654</v>
      </c>
      <c r="K117" s="24" t="s">
        <v>1</v>
      </c>
      <c r="L117" s="24" t="s">
        <v>1</v>
      </c>
      <c r="M117" s="25">
        <f>I117*100/D117-100</f>
        <v>294.3349180682818</v>
      </c>
      <c r="N117" s="25">
        <f>J117*100/E117-100</f>
        <v>298.27706218266724</v>
      </c>
      <c r="O117" s="25"/>
      <c r="P117" s="24" t="s">
        <v>1</v>
      </c>
      <c r="Q117" s="24" t="s">
        <v>1</v>
      </c>
      <c r="R117" s="11">
        <v>7201144</v>
      </c>
      <c r="S117" s="11">
        <v>7201144</v>
      </c>
      <c r="T117" s="24" t="s">
        <v>1</v>
      </c>
      <c r="U117" s="24" t="s">
        <v>1</v>
      </c>
      <c r="V117" s="23">
        <f>R117*100/I117-100</f>
        <v>110.31704053830273</v>
      </c>
      <c r="W117" s="23">
        <f>S117*100/J117-100</f>
        <v>110.45798318590951</v>
      </c>
      <c r="X117" s="23"/>
      <c r="Y117" s="24" t="s">
        <v>1</v>
      </c>
      <c r="Z117" s="24" t="s">
        <v>1</v>
      </c>
      <c r="AA117" s="20">
        <v>3999979</v>
      </c>
      <c r="AB117" s="20">
        <v>3999979</v>
      </c>
      <c r="AC117" s="24" t="s">
        <v>1</v>
      </c>
      <c r="AD117" s="24" t="s">
        <v>1</v>
      </c>
      <c r="AE117" s="23">
        <f>AA117*100/R117-100</f>
        <v>-44.453561822954796</v>
      </c>
      <c r="AF117" s="23">
        <f>AB117*100/S117-100</f>
        <v>-44.453561822954796</v>
      </c>
      <c r="AG117" s="23"/>
      <c r="AH117" s="24" t="s">
        <v>1</v>
      </c>
      <c r="AI117" s="24" t="s">
        <v>1</v>
      </c>
      <c r="AJ117" s="20">
        <v>7604583</v>
      </c>
      <c r="AK117" s="20">
        <v>7604583</v>
      </c>
      <c r="AL117" s="24" t="s">
        <v>1</v>
      </c>
      <c r="AM117" s="24" t="s">
        <v>1</v>
      </c>
      <c r="AN117" s="23">
        <f>AJ117*100/AA117-100</f>
        <v>90.1155731067588</v>
      </c>
      <c r="AO117" s="23">
        <f>AK117*100/AB117-100</f>
        <v>90.1155731067588</v>
      </c>
      <c r="AP117" s="23"/>
      <c r="AQ117" s="24" t="s">
        <v>1</v>
      </c>
      <c r="AR117" s="24" t="s">
        <v>1</v>
      </c>
      <c r="AS117" s="20">
        <v>10168865</v>
      </c>
      <c r="AT117" s="20">
        <v>10168865</v>
      </c>
      <c r="AU117" s="24" t="s">
        <v>1</v>
      </c>
      <c r="AV117" s="24" t="s">
        <v>1</v>
      </c>
      <c r="AW117" s="23">
        <f>AS117*100/AJ117-100</f>
        <v>33.72021845247792</v>
      </c>
      <c r="AX117" s="23">
        <f>AT117*100/AJ117-100</f>
        <v>33.72021845247792</v>
      </c>
      <c r="AY117" s="23"/>
      <c r="AZ117" s="24" t="s">
        <v>1</v>
      </c>
      <c r="BA117" s="24" t="s">
        <v>1</v>
      </c>
      <c r="BB117" s="20">
        <v>604525</v>
      </c>
      <c r="BC117" s="20">
        <v>604525</v>
      </c>
      <c r="BD117" s="24" t="s">
        <v>1</v>
      </c>
      <c r="BE117" s="24" t="s">
        <v>1</v>
      </c>
      <c r="BF117" s="23">
        <f>BB117*100/AS117-100</f>
        <v>-94.05513791362162</v>
      </c>
      <c r="BG117" s="23">
        <f>BC117*100/AS117-100</f>
        <v>-94.05513791362162</v>
      </c>
      <c r="BH117" s="23"/>
      <c r="BI117" s="24" t="s">
        <v>1</v>
      </c>
      <c r="BJ117" s="24" t="s">
        <v>1</v>
      </c>
      <c r="BK117" s="11">
        <v>600114</v>
      </c>
      <c r="BL117" s="11">
        <v>600114</v>
      </c>
      <c r="BM117" s="24" t="s">
        <v>1</v>
      </c>
      <c r="BN117" s="24" t="s">
        <v>1</v>
      </c>
      <c r="BO117" s="23">
        <f>BK117*100/BB117-100</f>
        <v>-0.7296637856168076</v>
      </c>
      <c r="BP117" s="23">
        <f>BL117*100/BB117-100</f>
        <v>-0.7296637856168076</v>
      </c>
      <c r="BQ117" s="23"/>
      <c r="BR117" s="24" t="s">
        <v>1</v>
      </c>
      <c r="BS117" s="24" t="s">
        <v>1</v>
      </c>
      <c r="BT117" s="11"/>
      <c r="BU117" s="11"/>
      <c r="BV117" s="24" t="s">
        <v>1</v>
      </c>
      <c r="BW117" s="24" t="s">
        <v>1</v>
      </c>
      <c r="BX117" s="23">
        <f>BT117*100/BK117-100</f>
        <v>-100</v>
      </c>
      <c r="BY117" s="23">
        <f>BU117*100/BK117-100</f>
        <v>-100</v>
      </c>
      <c r="BZ117" s="24" t="s">
        <v>1</v>
      </c>
      <c r="CA117" s="24" t="s">
        <v>1</v>
      </c>
      <c r="CB117" s="11"/>
      <c r="CC117" s="11"/>
      <c r="CD117" s="24" t="s">
        <v>1</v>
      </c>
      <c r="CE117" s="24" t="s">
        <v>1</v>
      </c>
      <c r="CF117" s="23" t="e">
        <f>CB117*100/BT117-100</f>
        <v>#DIV/0!</v>
      </c>
      <c r="CG117" s="23" t="e">
        <f>CC117*100/BU117-100</f>
        <v>#DIV/0!</v>
      </c>
    </row>
    <row r="118" spans="1:85" ht="12.75" thickBot="1">
      <c r="A118" s="16"/>
      <c r="B118" s="21"/>
      <c r="C118" s="16"/>
      <c r="D118" s="16"/>
      <c r="E118" s="16"/>
      <c r="F118" s="18"/>
      <c r="G118" s="16"/>
      <c r="H118" s="16"/>
      <c r="I118" s="16"/>
      <c r="J118" s="16"/>
      <c r="K118" s="26"/>
      <c r="L118" s="26"/>
      <c r="M118" s="26"/>
      <c r="N118" s="26"/>
      <c r="O118" s="26"/>
      <c r="P118" s="16"/>
      <c r="Q118" s="16"/>
      <c r="R118" s="16"/>
      <c r="S118" s="16"/>
      <c r="T118" s="26"/>
      <c r="U118" s="26"/>
      <c r="V118" s="26"/>
      <c r="W118" s="26"/>
      <c r="X118" s="26"/>
      <c r="Y118" s="16"/>
      <c r="Z118" s="16"/>
      <c r="AA118" s="16"/>
      <c r="AB118" s="16"/>
      <c r="AC118" s="26"/>
      <c r="AD118" s="26"/>
      <c r="AE118" s="26"/>
      <c r="AF118" s="26"/>
      <c r="AG118" s="26"/>
      <c r="AH118" s="16"/>
      <c r="AI118" s="16"/>
      <c r="AJ118" s="16"/>
      <c r="AK118" s="16"/>
      <c r="AL118" s="26"/>
      <c r="AM118" s="26"/>
      <c r="AN118" s="26"/>
      <c r="AO118" s="26"/>
      <c r="AP118" s="26"/>
      <c r="AQ118" s="16"/>
      <c r="AR118" s="16"/>
      <c r="AS118" s="16"/>
      <c r="AT118" s="16"/>
      <c r="AU118" s="26"/>
      <c r="AV118" s="26"/>
      <c r="AW118" s="26"/>
      <c r="AX118" s="26"/>
      <c r="AY118" s="26"/>
      <c r="AZ118" s="16"/>
      <c r="BA118" s="16"/>
      <c r="BB118" s="16"/>
      <c r="BC118" s="16"/>
      <c r="BD118" s="26"/>
      <c r="BE118" s="26"/>
      <c r="BF118" s="26"/>
      <c r="BG118" s="26"/>
      <c r="BH118" s="26"/>
      <c r="BI118" s="16"/>
      <c r="BJ118" s="16"/>
      <c r="BK118" s="16"/>
      <c r="BL118" s="16"/>
      <c r="BM118" s="26"/>
      <c r="BN118" s="26"/>
      <c r="BO118" s="26"/>
      <c r="BP118" s="26"/>
      <c r="BQ118" s="26"/>
      <c r="BR118" s="16"/>
      <c r="BS118" s="16"/>
      <c r="BT118" s="16"/>
      <c r="BU118" s="16"/>
      <c r="BV118" s="26"/>
      <c r="BW118" s="26"/>
      <c r="BX118" s="26"/>
      <c r="BY118" s="26"/>
      <c r="BZ118" s="16"/>
      <c r="CA118" s="16"/>
      <c r="CB118" s="16"/>
      <c r="CC118" s="16"/>
      <c r="CD118" s="26"/>
      <c r="CE118" s="26"/>
      <c r="CF118" s="26"/>
      <c r="CG118" s="26"/>
    </row>
    <row r="119" spans="1:85" ht="12.75" thickTop="1">
      <c r="A119" s="1" t="s">
        <v>112</v>
      </c>
      <c r="B119" s="19">
        <f>SUM(B12:B21)</f>
        <v>3700744</v>
      </c>
      <c r="C119" s="6" t="s">
        <v>1</v>
      </c>
      <c r="D119" s="19">
        <f>SUM(D12:D21)</f>
        <v>189786397</v>
      </c>
      <c r="E119" s="19">
        <f>SUM(E12:E21)</f>
        <v>188105323</v>
      </c>
      <c r="F119" s="8"/>
      <c r="G119" s="19">
        <f>SUM(G12:G21)</f>
        <v>4038535</v>
      </c>
      <c r="H119" s="6" t="s">
        <v>1</v>
      </c>
      <c r="I119" s="19">
        <f>SUM(I12:I21)</f>
        <v>220257120</v>
      </c>
      <c r="J119" s="19">
        <f>SUM(J12:J21)</f>
        <v>218479714</v>
      </c>
      <c r="K119" s="23">
        <f>G119*100/B119-100</f>
        <v>9.127651088537874</v>
      </c>
      <c r="L119" s="24" t="s">
        <v>1</v>
      </c>
      <c r="M119" s="23">
        <f aca="true" t="shared" si="127" ref="M119:N122">I119*100/D119-100</f>
        <v>16.05527239130842</v>
      </c>
      <c r="N119" s="23">
        <f t="shared" si="127"/>
        <v>16.147544639127517</v>
      </c>
      <c r="O119" s="23"/>
      <c r="P119" s="19">
        <f>SUM(P12:P21)</f>
        <v>3480603</v>
      </c>
      <c r="Q119" s="6" t="s">
        <v>1</v>
      </c>
      <c r="R119" s="19">
        <f>SUM(R12:R21)</f>
        <v>182307127</v>
      </c>
      <c r="S119" s="19">
        <f>SUM(S12:S21)</f>
        <v>177738098</v>
      </c>
      <c r="T119" s="23">
        <f t="shared" si="95"/>
        <v>-13.815207742411545</v>
      </c>
      <c r="U119" s="24" t="s">
        <v>1</v>
      </c>
      <c r="V119" s="23">
        <f aca="true" t="shared" si="128" ref="V119:W122">R119*100/I119-100</f>
        <v>-17.229859811115304</v>
      </c>
      <c r="W119" s="23">
        <f t="shared" si="128"/>
        <v>-18.647779811722017</v>
      </c>
      <c r="X119" s="23"/>
      <c r="Y119" s="19">
        <f>SUM(Y12:Y21)</f>
        <v>3473591</v>
      </c>
      <c r="Z119" s="6" t="s">
        <v>1</v>
      </c>
      <c r="AA119" s="19">
        <f>SUM(AA12:AA21)</f>
        <v>187136998</v>
      </c>
      <c r="AB119" s="19">
        <f>SUM(AB12:AB21)</f>
        <v>185214437</v>
      </c>
      <c r="AC119" s="23">
        <f>Y119*100/P119-100</f>
        <v>-0.20145934483191752</v>
      </c>
      <c r="AD119" s="24" t="s">
        <v>1</v>
      </c>
      <c r="AE119" s="23">
        <f t="shared" si="91"/>
        <v>2.6493045441937113</v>
      </c>
      <c r="AF119" s="23">
        <f t="shared" si="91"/>
        <v>4.206379546156725</v>
      </c>
      <c r="AG119" s="23"/>
      <c r="AH119" s="19">
        <f>SUM(AH12:AH21)</f>
        <v>3439336</v>
      </c>
      <c r="AI119" s="6" t="s">
        <v>1</v>
      </c>
      <c r="AJ119" s="19">
        <f>SUM(AJ12:AJ21)</f>
        <v>197166935</v>
      </c>
      <c r="AK119" s="19">
        <f>SUM(AK12:AK21)</f>
        <v>195884546</v>
      </c>
      <c r="AL119" s="23">
        <f t="shared" si="101"/>
        <v>-0.9861552497113166</v>
      </c>
      <c r="AM119" s="24" t="s">
        <v>1</v>
      </c>
      <c r="AN119" s="23">
        <f t="shared" si="101"/>
        <v>5.359676123478266</v>
      </c>
      <c r="AO119" s="23">
        <f t="shared" si="101"/>
        <v>5.760948861670002</v>
      </c>
      <c r="AP119" s="23"/>
      <c r="AQ119" s="19">
        <f>SUM(AQ12:AQ21)</f>
        <v>3498385</v>
      </c>
      <c r="AR119" s="6" t="s">
        <v>1</v>
      </c>
      <c r="AS119" s="19">
        <f>SUM(AS12:AS21)</f>
        <v>187739164</v>
      </c>
      <c r="AT119" s="19">
        <f>SUM(AT12:AT21)</f>
        <v>185941255</v>
      </c>
      <c r="AU119" s="23">
        <f t="shared" si="115"/>
        <v>1.7168720939157964</v>
      </c>
      <c r="AV119" s="24" t="s">
        <v>1</v>
      </c>
      <c r="AW119" s="23">
        <f>AS119*100/AJ119-100</f>
        <v>-4.781618682666036</v>
      </c>
      <c r="AX119" s="23">
        <f>AT119*100/AJ119-100</f>
        <v>-5.693490138191777</v>
      </c>
      <c r="AY119" s="23"/>
      <c r="AZ119" s="19">
        <f>SUM(AZ12:AZ21)</f>
        <v>3459869</v>
      </c>
      <c r="BA119" s="6" t="s">
        <v>1</v>
      </c>
      <c r="BB119" s="19">
        <f>SUM(BB12:BB21)</f>
        <v>184486510</v>
      </c>
      <c r="BC119" s="19">
        <f>SUM(BC12:BC21)</f>
        <v>182146646</v>
      </c>
      <c r="BD119" s="23" t="e">
        <f>AZ119*100/AP119-100</f>
        <v>#DIV/0!</v>
      </c>
      <c r="BE119" s="24" t="s">
        <v>1</v>
      </c>
      <c r="BF119" s="23" t="e">
        <f aca="true" t="shared" si="129" ref="BF119:BG122">BB119*100/AR119-100</f>
        <v>#VALUE!</v>
      </c>
      <c r="BG119" s="23">
        <f t="shared" si="129"/>
        <v>-2.978876586453751</v>
      </c>
      <c r="BH119" s="23"/>
      <c r="BI119" s="19">
        <f>SUM(BI12:BI21)</f>
        <v>3173422</v>
      </c>
      <c r="BJ119" s="6" t="s">
        <v>1</v>
      </c>
      <c r="BK119" s="19">
        <f>SUM(BK12:BK21)</f>
        <v>182204431</v>
      </c>
      <c r="BL119" s="19">
        <f>SUM(BL12:BL21)</f>
        <v>179970891</v>
      </c>
      <c r="BM119" s="23" t="e">
        <f>BI119*100/AY119-100</f>
        <v>#DIV/0!</v>
      </c>
      <c r="BN119" s="24" t="s">
        <v>1</v>
      </c>
      <c r="BO119" s="23" t="e">
        <f aca="true" t="shared" si="130" ref="BO119:BP122">BK119*100/BA119-100</f>
        <v>#VALUE!</v>
      </c>
      <c r="BP119" s="23">
        <f t="shared" si="130"/>
        <v>-2.4476689379619074</v>
      </c>
      <c r="BQ119" s="23"/>
      <c r="BR119" s="19">
        <f>SUM(BR12:BR21)</f>
        <v>3048175</v>
      </c>
      <c r="BS119" s="6" t="s">
        <v>1</v>
      </c>
      <c r="BT119" s="19">
        <f>SUM(BT12:BT21)</f>
        <v>162953673</v>
      </c>
      <c r="BU119" s="19">
        <f>SUM(BU12:BU21)</f>
        <v>161189861</v>
      </c>
      <c r="BV119" s="23" t="e">
        <f>BR119*100/BH119-100</f>
        <v>#DIV/0!</v>
      </c>
      <c r="BW119" s="24" t="s">
        <v>1</v>
      </c>
      <c r="BX119" s="23" t="e">
        <f aca="true" t="shared" si="131" ref="BX119:BY122">BT119*100/BJ119-100</f>
        <v>#VALUE!</v>
      </c>
      <c r="BY119" s="23">
        <f t="shared" si="131"/>
        <v>-11.533512047245438</v>
      </c>
      <c r="BZ119" s="19">
        <f>SUM(BZ12:BZ21)</f>
        <v>2991552</v>
      </c>
      <c r="CA119" s="6" t="s">
        <v>1</v>
      </c>
      <c r="CB119" s="19">
        <f>SUM(CB12:CB21)</f>
        <v>164536262</v>
      </c>
      <c r="CC119" s="19">
        <f>SUM(CC12:CC21)</f>
        <v>162828863</v>
      </c>
      <c r="CD119" s="23">
        <f>BZ119*100/BP119-100</f>
        <v>-122220550.38864471</v>
      </c>
      <c r="CE119" s="24" t="s">
        <v>1</v>
      </c>
      <c r="CF119" s="23">
        <f aca="true" t="shared" si="132" ref="CF119:CG122">CB119*100/BR119-100</f>
        <v>5297.861408875803</v>
      </c>
      <c r="CG119" s="23" t="e">
        <f t="shared" si="132"/>
        <v>#VALUE!</v>
      </c>
    </row>
    <row r="120" spans="1:85" ht="12">
      <c r="A120" s="1" t="s">
        <v>113</v>
      </c>
      <c r="B120" s="19">
        <f>SUM(B23:B28)</f>
        <v>71658</v>
      </c>
      <c r="C120" s="6" t="s">
        <v>1</v>
      </c>
      <c r="D120" s="9">
        <f>SUM(D23:D28)</f>
        <v>1503392</v>
      </c>
      <c r="E120" s="9">
        <f>SUM(E23:E28)</f>
        <v>1464242</v>
      </c>
      <c r="F120" s="8"/>
      <c r="G120" s="9">
        <f>SUM(G23:G28)</f>
        <v>72799</v>
      </c>
      <c r="H120" s="6" t="s">
        <v>1</v>
      </c>
      <c r="I120" s="9">
        <f>SUM(I23:I28)</f>
        <v>1503859</v>
      </c>
      <c r="J120" s="9">
        <f>SUM(J23:J28)</f>
        <v>1479686</v>
      </c>
      <c r="K120" s="23">
        <f>G120*100/B120-100</f>
        <v>1.592285578721146</v>
      </c>
      <c r="L120" s="24" t="s">
        <v>1</v>
      </c>
      <c r="M120" s="23">
        <f t="shared" si="127"/>
        <v>0.031063089333983385</v>
      </c>
      <c r="N120" s="23">
        <f t="shared" si="127"/>
        <v>1.0547436830797068</v>
      </c>
      <c r="O120" s="23"/>
      <c r="P120" s="9">
        <f>SUM(P23:P28)</f>
        <v>68693</v>
      </c>
      <c r="Q120" s="6" t="s">
        <v>1</v>
      </c>
      <c r="R120" s="9">
        <f>SUM(R23:R28)</f>
        <v>1417624</v>
      </c>
      <c r="S120" s="9">
        <f>SUM(S23:S28)</f>
        <v>1279526</v>
      </c>
      <c r="T120" s="23">
        <f>P120*100/G120-100</f>
        <v>-5.640187365211062</v>
      </c>
      <c r="U120" s="24" t="s">
        <v>1</v>
      </c>
      <c r="V120" s="23">
        <f t="shared" si="128"/>
        <v>-5.73424769210412</v>
      </c>
      <c r="W120" s="23">
        <f t="shared" si="128"/>
        <v>-13.527194283111413</v>
      </c>
      <c r="X120" s="23"/>
      <c r="Y120" s="9">
        <f>SUM(Y23:Y28)</f>
        <v>73259</v>
      </c>
      <c r="Z120" s="6" t="s">
        <v>1</v>
      </c>
      <c r="AA120" s="9">
        <f>SUM(AA23:AA28)</f>
        <v>1527505</v>
      </c>
      <c r="AB120" s="9">
        <f>SUM(AB23:AB28)</f>
        <v>1499915</v>
      </c>
      <c r="AC120" s="23">
        <f>Y120*100/P120-100</f>
        <v>6.646965484110467</v>
      </c>
      <c r="AD120" s="24" t="s">
        <v>1</v>
      </c>
      <c r="AE120" s="23">
        <f aca="true" t="shared" si="133" ref="AE120:AF122">AA120*100/R120-100</f>
        <v>7.751067984176345</v>
      </c>
      <c r="AF120" s="23">
        <f t="shared" si="133"/>
        <v>17.224268987109284</v>
      </c>
      <c r="AG120" s="23"/>
      <c r="AH120" s="9">
        <f>SUM(AH23:AH28)</f>
        <v>62638</v>
      </c>
      <c r="AI120" s="6" t="s">
        <v>1</v>
      </c>
      <c r="AJ120" s="9">
        <f>SUM(AJ23:AJ28)</f>
        <v>1256478</v>
      </c>
      <c r="AK120" s="9">
        <f>SUM(AK23:AK28)</f>
        <v>1235455</v>
      </c>
      <c r="AL120" s="23">
        <f>AH120*100/Y120-100</f>
        <v>-14.49787739390382</v>
      </c>
      <c r="AM120" s="24" t="s">
        <v>1</v>
      </c>
      <c r="AN120" s="23">
        <f aca="true" t="shared" si="134" ref="AN120:AO122">AJ120*100/AA120-100</f>
        <v>-17.743117043806734</v>
      </c>
      <c r="AO120" s="23">
        <f t="shared" si="134"/>
        <v>-17.63166579439502</v>
      </c>
      <c r="AP120" s="23"/>
      <c r="AQ120" s="9">
        <f>SUM(AQ23:AQ28)</f>
        <v>64774</v>
      </c>
      <c r="AR120" s="6" t="s">
        <v>1</v>
      </c>
      <c r="AS120" s="9">
        <f>SUM(AS23:AS28)</f>
        <v>1363132</v>
      </c>
      <c r="AT120" s="9">
        <f>SUM(AT23:AT28)</f>
        <v>1336345</v>
      </c>
      <c r="AU120" s="23">
        <f t="shared" si="115"/>
        <v>3.410070564194257</v>
      </c>
      <c r="AV120" s="24" t="s">
        <v>1</v>
      </c>
      <c r="AW120" s="23">
        <f>AS120*100/AJ120-100</f>
        <v>8.488330078202722</v>
      </c>
      <c r="AX120" s="23">
        <f>AT120*100/AJ120-100</f>
        <v>6.3564184967822825</v>
      </c>
      <c r="AY120" s="23"/>
      <c r="AZ120" s="9">
        <f>SUM(AZ23:AZ28)</f>
        <v>59997</v>
      </c>
      <c r="BA120" s="6" t="s">
        <v>1</v>
      </c>
      <c r="BB120" s="9">
        <f>SUM(BB23:BB28)</f>
        <v>1155960</v>
      </c>
      <c r="BC120" s="9">
        <f>SUM(BC23:BC28)</f>
        <v>1132367</v>
      </c>
      <c r="BD120" s="23" t="e">
        <f>AZ120*100/AP120-100</f>
        <v>#DIV/0!</v>
      </c>
      <c r="BE120" s="24" t="s">
        <v>1</v>
      </c>
      <c r="BF120" s="23" t="e">
        <f t="shared" si="129"/>
        <v>#VALUE!</v>
      </c>
      <c r="BG120" s="23">
        <f t="shared" si="129"/>
        <v>-16.929028149878363</v>
      </c>
      <c r="BH120" s="23"/>
      <c r="BI120" s="9">
        <f>SUM(BI23:BI28)</f>
        <v>58411</v>
      </c>
      <c r="BJ120" s="6" t="s">
        <v>1</v>
      </c>
      <c r="BK120" s="9">
        <f>SUM(BK23:BK28)</f>
        <v>1129187</v>
      </c>
      <c r="BL120" s="9">
        <f>SUM(BL23:BL28)</f>
        <v>1107020</v>
      </c>
      <c r="BM120" s="23" t="e">
        <f>BI120*100/AY120-100</f>
        <v>#DIV/0!</v>
      </c>
      <c r="BN120" s="24" t="s">
        <v>1</v>
      </c>
      <c r="BO120" s="23" t="e">
        <f t="shared" si="130"/>
        <v>#VALUE!</v>
      </c>
      <c r="BP120" s="23">
        <f t="shared" si="130"/>
        <v>-4.233710509014159</v>
      </c>
      <c r="BQ120" s="23"/>
      <c r="BR120" s="9">
        <f>SUM(BR23:BR28)</f>
        <v>62307</v>
      </c>
      <c r="BS120" s="6" t="s">
        <v>1</v>
      </c>
      <c r="BT120" s="9">
        <f>SUM(BT23:BT28)</f>
        <v>1229689</v>
      </c>
      <c r="BU120" s="9">
        <f>SUM(BU23:BU28)</f>
        <v>1207114</v>
      </c>
      <c r="BV120" s="23" t="e">
        <f>BR120*100/BH120-100</f>
        <v>#DIV/0!</v>
      </c>
      <c r="BW120" s="24" t="s">
        <v>1</v>
      </c>
      <c r="BX120" s="23" t="e">
        <f t="shared" si="131"/>
        <v>#VALUE!</v>
      </c>
      <c r="BY120" s="23">
        <f t="shared" si="131"/>
        <v>6.901159861032767</v>
      </c>
      <c r="BZ120" s="9">
        <f>SUM(BZ23:BZ28)</f>
        <v>73390</v>
      </c>
      <c r="CA120" s="6" t="s">
        <v>1</v>
      </c>
      <c r="CB120" s="9">
        <f>SUM(CB23:CB28)</f>
        <v>1569535</v>
      </c>
      <c r="CC120" s="9">
        <f>SUM(CC23:CC28)</f>
        <v>1541022</v>
      </c>
      <c r="CD120" s="23">
        <f>BZ120*100/BP120-100</f>
        <v>-1733567.6011442556</v>
      </c>
      <c r="CE120" s="24" t="s">
        <v>1</v>
      </c>
      <c r="CF120" s="23">
        <f t="shared" si="132"/>
        <v>2419.0347793987835</v>
      </c>
      <c r="CG120" s="23" t="e">
        <f t="shared" si="132"/>
        <v>#VALUE!</v>
      </c>
    </row>
    <row r="121" spans="1:85" ht="12">
      <c r="A121" s="1" t="s">
        <v>114</v>
      </c>
      <c r="B121" s="19">
        <f>B29+B30+B34+B37+B41+B42+B43+B46+B47+B48+B49+B50+B53+B54+B57+B60+B61+B64+B67+B70+B73+B76+B79+B82+B85+B88+B78+B89+B92+B95+B98+B101+B104+B108+B105+B38</f>
        <v>532825.6999999998</v>
      </c>
      <c r="C121" s="6" t="s">
        <v>1</v>
      </c>
      <c r="D121" s="9">
        <f>D29+D30+D34+D37+D41+D42+D43+D46+D47+D48+D49+D50+D53+D54+D57+D60+D61+D64+D67+D70+D73+D76+D79+D82+D85+D88+D78+D89+D92+D95+D98+D101+D104+D108+D105+D38</f>
        <v>157781387</v>
      </c>
      <c r="E121" s="9">
        <f>E29+E30+E34+E37+E41+E42+E43+E46+E47+E48+E49+E50+E53+E54+E57+E60+E61+E64+E67+E70+E73+E76+E79+E82+E85+E88+E78+E89+E92+E95+E98+E101+E104+E108+E105+E38</f>
        <v>152090783</v>
      </c>
      <c r="F121" s="8"/>
      <c r="G121" s="9">
        <f>G29+G30+G34+G37+G41+G42+G43+G46+G47+G48+G49+G50+G53+G54+G57+G60+G61+G64+G67+G70+G73+G76+G79+G82+G85+G88+G78+G89+G92+G95+G98+G101+G104+G108+G105+G38</f>
        <v>514584.37</v>
      </c>
      <c r="H121" s="6" t="s">
        <v>1</v>
      </c>
      <c r="I121" s="9">
        <f>I29+I30+I34+I37+I41+I42+I43+I46+I47+I48+I49+I50+I53+I54+I57+I60+I61+I64+I67+I70+I73+I76+I79+I82+I85+I88+I78+I89+I92+I95+I98+I101+I104+I108+I105+I38</f>
        <v>151248405</v>
      </c>
      <c r="J121" s="9">
        <f>J29+J30+J34+J37+J41+J42+J43+J46+J47+J48+J49+J50+J53+J54+J57+J60+J61+J64+J67+J70+J73+J76+J79+J82+J85+J88+J78+J89+J92+J95+J98+J101+J104+J108+J105+J38</f>
        <v>145587251</v>
      </c>
      <c r="K121" s="23">
        <f>G121*100/B121-100</f>
        <v>-3.4235079126250554</v>
      </c>
      <c r="L121" s="24" t="s">
        <v>1</v>
      </c>
      <c r="M121" s="23">
        <f t="shared" si="127"/>
        <v>-4.1405276783376195</v>
      </c>
      <c r="N121" s="23">
        <f t="shared" si="127"/>
        <v>-4.276085553455275</v>
      </c>
      <c r="O121" s="23"/>
      <c r="P121" s="9">
        <f>P29+P30+P34+P37+P41+P42+P43+P46+P47+P48+P49+P50+P53+P54+P57+P60+P61+P64+P67+P70+P73+P76+P79+P82+P85+P88+P78+P89+P92+P95+P98+P101+P104+P108+P105+P38</f>
        <v>526594.5200000001</v>
      </c>
      <c r="Q121" s="6" t="s">
        <v>1</v>
      </c>
      <c r="R121" s="9">
        <f>R29+R30+R34+R37+R41+R42+R43+R46+R47+R48+R49+R50+R53+R54+R57+R60+R61+R64+R67+R70+R73+R76+R79+R82+R85+R88+R78+R89+R92+R95+R98+R101+R104+R108+R105+R38</f>
        <v>163628267</v>
      </c>
      <c r="S121" s="9">
        <f>S29+S30+S34+S37+S41+S42+S43+S46+S47+S48+S49+S50+S53+S54+S57+S60+S61+S64+S67+S70+S73+S76+S79+S82+S85+S88+S78+S89+S92+S95+S98+S101+S104+S108+S105+S38</f>
        <v>156517951</v>
      </c>
      <c r="T121" s="23">
        <f>P121*100/G121-100</f>
        <v>2.333951573383416</v>
      </c>
      <c r="U121" s="24" t="s">
        <v>1</v>
      </c>
      <c r="V121" s="23">
        <f t="shared" si="128"/>
        <v>8.185119043073541</v>
      </c>
      <c r="W121" s="23">
        <f t="shared" si="128"/>
        <v>7.50800631574532</v>
      </c>
      <c r="X121" s="23"/>
      <c r="Y121" s="9">
        <f>Y29+Y30+Y34+Y37+Y41+Y42+Y43+Y46+Y47+Y48+Y49+Y50+Y53+Y54+Y57+Y60+Y61+Y64+Y67+Y70+Y73+Y76+Y79+Y82+Y85+Y88+Y78+Y89+Y92+Y95+Y98+Y101+Y104+Y108+Y105+Y38</f>
        <v>504558.23</v>
      </c>
      <c r="Z121" s="6" t="s">
        <v>1</v>
      </c>
      <c r="AA121" s="9">
        <f>AA29+AA30+AA34+AA37+AA41+AA42+AA43+AA46+AA47+AA48+AA49+AA50+AA53+AA54+AA57+AA60+AA61+AA64+AA67+AA70+AA73+AA76+AA79+AA82+AA85+AA88+AA78+AA89+AA92+AA95+AA98+AA101+AA104+AA108+AA105+AA38</f>
        <v>147767183</v>
      </c>
      <c r="AB121" s="9">
        <f>AB29+AB30+AB34+AB37+AB41+AB42+AB43+AB46+AB47+AB48+AB49+AB50+AB53+AB54+AB57+AB60+AB61+AB64+AB67+AB70+AB73+AB76+AB79+AB82+AB85+AB88+AB78+AB89+AB92+AB95+AB98+AB101+AB104+AB108+AB105+AB38</f>
        <v>143178278</v>
      </c>
      <c r="AC121" s="23">
        <f>Y121*100/P121-100</f>
        <v>-4.184678944247295</v>
      </c>
      <c r="AD121" s="24" t="s">
        <v>1</v>
      </c>
      <c r="AE121" s="23">
        <f t="shared" si="133"/>
        <v>-9.693364288946483</v>
      </c>
      <c r="AF121" s="23">
        <f t="shared" si="133"/>
        <v>-8.522775128841289</v>
      </c>
      <c r="AG121" s="23"/>
      <c r="AH121" s="9">
        <f>AH29+AH30+AH34+AH37+AH41+AH42+AH43+AH46+AH47+AH48+AH49+AH50+AH53+AH54+AH57+AH60+AH61+AH64+AH67+AH70+AH73+AH76+AH79+AH82+AH85+AH88+AH78+AH89+AH92+AH95+AH98+AH101+AH104+AH108+AH105+AH38</f>
        <v>509220.2300000001</v>
      </c>
      <c r="AI121" s="6" t="s">
        <v>1</v>
      </c>
      <c r="AJ121" s="9">
        <f>AJ29+AJ30+AJ34+AJ37+AJ41+AJ42+AJ43+AJ46+AJ47+AJ48+AJ49+AJ50+AJ53+AJ54+AJ57+AJ60+AJ61+AJ64+AJ67+AJ70+AJ73+AJ76+AJ79+AJ82+AJ85+AJ88+AJ78+AJ89+AJ92+AJ95+AJ98+AJ101+AJ104+AJ108+AJ105+AJ38</f>
        <v>154152874</v>
      </c>
      <c r="AK121" s="9">
        <f>AK29+AK30+AK34+AK37+AK41+AK42+AK43+AK46+AK47+AK48+AK49+AK50+AK53+AK54+AK57+AK60+AK61+AK64+AK67+AK70+AK73+AK76+AK79+AK82+AK85+AK88+AK78+AK89+AK92+AK95+AK98+AK101+AK104+AK108+AK105+AK38</f>
        <v>149384170</v>
      </c>
      <c r="AL121" s="23">
        <f>AH121*100/Y121-100</f>
        <v>0.9239766042464765</v>
      </c>
      <c r="AM121" s="24" t="s">
        <v>1</v>
      </c>
      <c r="AN121" s="23">
        <f t="shared" si="134"/>
        <v>4.3214541079801165</v>
      </c>
      <c r="AO121" s="23">
        <f t="shared" si="134"/>
        <v>4.334380945690654</v>
      </c>
      <c r="AP121" s="23"/>
      <c r="AQ121" s="9">
        <f>AQ29+AQ30+AQ34+AQ37+AQ41+AQ42+AQ43+AQ46+AQ47+AQ48+AQ49+AQ50+AQ53+AQ54+AQ57+AQ60+AQ61+AQ64+AQ67+AQ70+AQ73+AQ76+AQ79+AQ82+AQ85+AQ88+AQ78+AQ89+AQ92+AQ95+AQ98+AQ101+AQ104+AQ108+AQ105+AQ38</f>
        <v>442272.2</v>
      </c>
      <c r="AR121" s="6" t="s">
        <v>1</v>
      </c>
      <c r="AS121" s="9">
        <f>AS29+AS30+AS34+AS37+AS41+AS42+AS43+AS46+AS47+AS48+AS49+AS50+AS53+AS54+AS57+AS60+AS61+AS64+AS67+AS70+AS73+AS76+AS79+AS82+AS85+AS88+AS78+AS89+AS92+AS95+AS98+AS101+AS104+AS108+AS105+AS38</f>
        <v>136800119</v>
      </c>
      <c r="AT121" s="9">
        <f>AT29+AT30+AT34+AT37+AT41+AT42+AT43+AT46+AT47+AT48+AT49+AT50+AT53+AT54+AT57+AT60+AT61+AT64+AT67+AT70+AT73+AT76+AT79+AT82+AT85+AT88+AT78+AT89+AT92+AT95+AT98+AT101+AT104+AT108+AT105+AT38</f>
        <v>132382615</v>
      </c>
      <c r="AU121" s="23">
        <f t="shared" si="115"/>
        <v>-13.147166207438403</v>
      </c>
      <c r="AV121" s="24" t="s">
        <v>1</v>
      </c>
      <c r="AW121" s="23">
        <f>AS121*100/AJ121-100</f>
        <v>-11.256848185652387</v>
      </c>
      <c r="AX121" s="23">
        <f>AT121*100/AJ121-100</f>
        <v>-14.122512565026838</v>
      </c>
      <c r="AY121" s="23"/>
      <c r="AZ121" s="9">
        <f>AZ29+AZ30+AZ34+AZ37+AZ41+AZ42+AZ43+AZ46+AZ47+AZ48+AZ49+AZ50+AZ53+AZ54+AZ57+AZ60+AZ61+AZ64+AZ67+AZ70+AZ73+AZ76+AZ79+AZ82+AZ85+AZ88+AZ78+AZ89+AZ92+AZ95+AZ98+AZ101+AZ104+AZ108+AZ105+AZ38</f>
        <v>460011.23000000016</v>
      </c>
      <c r="BA121" s="6" t="s">
        <v>1</v>
      </c>
      <c r="BB121" s="9">
        <f>BB29+BB30+BB34+BB37+BB41+BB42+BB43+BB46+BB47+BB48+BB49+BB50+BB53+BB54+BB57+BB60+BB61+BB64+BB67+BB70+BB73+BB76+BB79+BB82+BB85+BB88+BB78+BB89+BB92+BB95+BB98+BB101+BB104+BB108+BB105+BB38</f>
        <v>137202944</v>
      </c>
      <c r="BC121" s="9">
        <f>BC29+BC30+BC34+BC37+BC41+BC42+BC43+BC46+BC47+BC48+BC49+BC50+BC53+BC54+BC57+BC60+BC61+BC64+BC67+BC70+BC73+BC76+BC79+BC82+BC85+BC88+BC78+BC89+BC92+BC95+BC98+BC101+BC104+BC108+BC105+BC38</f>
        <v>131886044</v>
      </c>
      <c r="BD121" s="23" t="e">
        <f>AZ121*100/AP121-100</f>
        <v>#DIV/0!</v>
      </c>
      <c r="BE121" s="24" t="s">
        <v>1</v>
      </c>
      <c r="BF121" s="23" t="e">
        <f t="shared" si="129"/>
        <v>#VALUE!</v>
      </c>
      <c r="BG121" s="23">
        <f t="shared" si="129"/>
        <v>-3.592156962962875</v>
      </c>
      <c r="BH121" s="23"/>
      <c r="BI121" s="9">
        <f>BI29+BI30+BI34+BI37+BI41+BI42+BI43+BI46+BI47+BI48+BI49+BI50+BI53+BI54+BI57+BI60+BI61+BI64+BI67+BI70+BI73+BI76+BI79+BI82+BI85+BI88+BI78+BI89+BI92+BI95+BI98+BI101+BI104+BI108+BI105+BI38</f>
        <v>463374.7899999999</v>
      </c>
      <c r="BJ121" s="6" t="s">
        <v>1</v>
      </c>
      <c r="BK121" s="9">
        <f>BK29+BK30+BK34+BK37+BK41+BK42+BK43+BK46+BK47+BK48+BK49+BK50+BK53+BK54+BK57+BK60+BK61+BK64+BK67+BK70+BK73+BK76+BK79+BK82+BK85+BK88+BK78+BK89+BK92+BK95+BK98+BK101+BK104+BK108+BK105+BK38</f>
        <v>140964935</v>
      </c>
      <c r="BL121" s="9">
        <f>BL29+BL30+BL34+BL37+BL41+BL42+BL43+BL46+BL47+BL48+BL49+BL50+BL53+BL54+BL57+BL60+BL61+BL64+BL67+BL70+BL73+BL76+BL79+BL82+BL85+BL88+BL78+BL89+BL92+BL95+BL98+BL101+BL104+BL108+BL105+BL38</f>
        <v>135951427</v>
      </c>
      <c r="BM121" s="23" t="e">
        <f>BI121*100/AY121-100</f>
        <v>#DIV/0!</v>
      </c>
      <c r="BN121" s="24" t="s">
        <v>1</v>
      </c>
      <c r="BO121" s="23" t="e">
        <f t="shared" si="130"/>
        <v>#VALUE!</v>
      </c>
      <c r="BP121" s="23">
        <f t="shared" si="130"/>
        <v>-0.912164829349436</v>
      </c>
      <c r="BQ121" s="23"/>
      <c r="BR121" s="9">
        <f>BR29+BR30+BR34+BR37+BR41+BR42+BR43+BR46+BR47+BR48+BR49+BR50+BR53+BR54+BR57+BR60+BR61+BR64+BR67+BR70+BR73+BR76+BR79+BR82+BR85+BR88+BR78+BR89+BR92+BR95+BR98+BR101+BR104+BR108+BR105+BR38</f>
        <v>459480.33</v>
      </c>
      <c r="BS121" s="6" t="s">
        <v>1</v>
      </c>
      <c r="BT121" s="9">
        <f>BT29+BT30+BT34+BT37+BT41+BT42+BT43+BT46+BT47+BT48+BT49+BT50+BT53+BT54+BT57+BT60+BT61+BT64+BT67+BT70+BT73+BT76+BT79+BT82+BT85+BT88+BT78+BT89+BT92+BT95+BT98+BT101+BT104+BT108+BT105+BT38</f>
        <v>148480328</v>
      </c>
      <c r="BU121" s="9">
        <f>BU29+BU30+BU34+BU37+BU41+BU42+BU43+BU46+BU47+BU48+BU49+BU50+BU53+BU54+BU57+BU60+BU61+BU64+BU67+BU70+BU73+BU76+BU79+BU82+BU85+BU88+BU78+BU89+BU92+BU95+BU98+BU101+BU104+BU108+BU105+BU38</f>
        <v>142575820</v>
      </c>
      <c r="BV121" s="23" t="e">
        <f>BR121*100/BH121-100</f>
        <v>#DIV/0!</v>
      </c>
      <c r="BW121" s="24" t="s">
        <v>1</v>
      </c>
      <c r="BX121" s="23" t="e">
        <f t="shared" si="131"/>
        <v>#VALUE!</v>
      </c>
      <c r="BY121" s="23">
        <f t="shared" si="131"/>
        <v>1.142755820800403</v>
      </c>
      <c r="BZ121" s="9">
        <f>BZ29+BZ30+BZ34+BZ37+BZ41+BZ42+BZ43+BZ46+BZ47+BZ48+BZ49+BZ50+BZ53+BZ54+BZ57+BZ60+BZ61+BZ64+BZ67+BZ70+BZ73+BZ76+BZ79+BZ82+BZ85+BZ88+BZ78+BZ89+BZ92+BZ95+BZ98+BZ101+BZ104+BZ108+BZ105+BZ38</f>
        <v>298445</v>
      </c>
      <c r="CA121" s="6" t="s">
        <v>1</v>
      </c>
      <c r="CB121" s="9">
        <f>CB29+CB30+CB34+CB37+CB41+CB42+CB43+CB46+CB47+CB48+CB49+CB50+CB53+CB54+CB57+CB60+CB61+CB64+CB67+CB70+CB73+CB76+CB79+CB82+CB85+CB88+CB78+CB89+CB92+CB95+CB98+CB101+CB104+CB108+CB105+CB38</f>
        <v>64275665</v>
      </c>
      <c r="CC121" s="9">
        <f>CC29+CC30+CC34+CC37+CC41+CC42+CC43+CC46+CC47+CC48+CC49+CC50+CC53+CC54+CC57+CC60+CC61+CC64+CC67+CC70+CC73+CC76+CC79+CC82+CC85+CC88+CC78+CC89+CC92+CC95+CC98+CC101+CC104+CC108+CC105+CC38</f>
        <v>62423350</v>
      </c>
      <c r="CD121" s="23">
        <f>BZ121*100/BP121-100</f>
        <v>-32718419.145548902</v>
      </c>
      <c r="CE121" s="24" t="s">
        <v>1</v>
      </c>
      <c r="CF121" s="23">
        <f t="shared" si="132"/>
        <v>13888.774013459944</v>
      </c>
      <c r="CG121" s="23" t="e">
        <f t="shared" si="132"/>
        <v>#VALUE!</v>
      </c>
    </row>
    <row r="122" spans="1:85" ht="12">
      <c r="A122" s="1" t="s">
        <v>115</v>
      </c>
      <c r="B122" s="19">
        <f>SUM(B109:B115)</f>
        <v>331826</v>
      </c>
      <c r="C122" s="6" t="s">
        <v>1</v>
      </c>
      <c r="D122" s="9">
        <f>SUM(D109:D115)</f>
        <v>45119537</v>
      </c>
      <c r="E122" s="9">
        <f>SUM(E109:E115)</f>
        <v>41752815</v>
      </c>
      <c r="F122" s="8"/>
      <c r="G122" s="9">
        <f>SUM(G109:G115)</f>
        <v>322482</v>
      </c>
      <c r="H122" s="6" t="s">
        <v>1</v>
      </c>
      <c r="I122" s="9">
        <f>SUM(I109:I115)</f>
        <v>45897950</v>
      </c>
      <c r="J122" s="9">
        <f>SUM(J109:J115)</f>
        <v>42543973</v>
      </c>
      <c r="K122" s="23">
        <f>G122*100/B122-100</f>
        <v>-2.815933651974234</v>
      </c>
      <c r="L122" s="24" t="s">
        <v>1</v>
      </c>
      <c r="M122" s="23">
        <f t="shared" si="127"/>
        <v>1.7252238204483348</v>
      </c>
      <c r="N122" s="23">
        <f t="shared" si="127"/>
        <v>1.8948614602392695</v>
      </c>
      <c r="O122" s="23"/>
      <c r="P122" s="9">
        <f>SUM(P109:P115)</f>
        <v>372601</v>
      </c>
      <c r="Q122" s="6" t="s">
        <v>1</v>
      </c>
      <c r="R122" s="9">
        <f>SUM(R109:R115)</f>
        <v>44015404</v>
      </c>
      <c r="S122" s="9">
        <f>SUM(S109:S115)</f>
        <v>41239486</v>
      </c>
      <c r="T122" s="23">
        <f>P122*100/G122-100</f>
        <v>15.541642634317569</v>
      </c>
      <c r="U122" s="24" t="s">
        <v>1</v>
      </c>
      <c r="V122" s="23">
        <f t="shared" si="128"/>
        <v>-4.101590593915418</v>
      </c>
      <c r="W122" s="23">
        <f t="shared" si="128"/>
        <v>-3.0662086965878785</v>
      </c>
      <c r="X122" s="23"/>
      <c r="Y122" s="9">
        <f>SUM(Y109:Y115)</f>
        <v>370417</v>
      </c>
      <c r="Z122" s="6" t="s">
        <v>1</v>
      </c>
      <c r="AA122" s="9">
        <f>SUM(AA109:AA115)</f>
        <v>49285863</v>
      </c>
      <c r="AB122" s="9">
        <f>SUM(AB109:AB115)</f>
        <v>44526839</v>
      </c>
      <c r="AC122" s="23">
        <f>Y122*100/P122-100</f>
        <v>-0.5861497956258859</v>
      </c>
      <c r="AD122" s="24" t="s">
        <v>1</v>
      </c>
      <c r="AE122" s="23">
        <f t="shared" si="133"/>
        <v>11.974123877177178</v>
      </c>
      <c r="AF122" s="23">
        <f t="shared" si="133"/>
        <v>7.971372388103958</v>
      </c>
      <c r="AG122" s="23"/>
      <c r="AH122" s="9">
        <f>SUM(AH109:AH115)</f>
        <v>370923</v>
      </c>
      <c r="AI122" s="6" t="s">
        <v>1</v>
      </c>
      <c r="AJ122" s="9">
        <f>SUM(AJ109:AJ115)</f>
        <v>37252491</v>
      </c>
      <c r="AK122" s="9">
        <f>SUM(AK109:AK115)</f>
        <v>34550649</v>
      </c>
      <c r="AL122" s="23">
        <f>AH122*100/Y122-100</f>
        <v>0.13660280170726935</v>
      </c>
      <c r="AM122" s="24" t="s">
        <v>1</v>
      </c>
      <c r="AN122" s="23">
        <f t="shared" si="134"/>
        <v>-24.41546372029643</v>
      </c>
      <c r="AO122" s="23">
        <f t="shared" si="134"/>
        <v>-22.404891575618024</v>
      </c>
      <c r="AP122" s="23"/>
      <c r="AQ122" s="9">
        <f>SUM(AQ109:AQ115)</f>
        <v>343372</v>
      </c>
      <c r="AR122" s="6" t="s">
        <v>1</v>
      </c>
      <c r="AS122" s="9">
        <f>SUM(AS109:AS115)</f>
        <v>35505415</v>
      </c>
      <c r="AT122" s="9">
        <f>SUM(AT109:AT115)</f>
        <v>31757889</v>
      </c>
      <c r="AU122" s="23">
        <f t="shared" si="115"/>
        <v>-7.427687148006456</v>
      </c>
      <c r="AV122" s="24" t="s">
        <v>1</v>
      </c>
      <c r="AW122" s="23">
        <f>AS122*100/AJ122-100</f>
        <v>-4.689823292622236</v>
      </c>
      <c r="AX122" s="23">
        <f>AT122*100/AJ122-100</f>
        <v>-14.749623052053082</v>
      </c>
      <c r="AY122" s="23"/>
      <c r="AZ122" s="9">
        <f>SUM(AZ109:AZ115)</f>
        <v>387190</v>
      </c>
      <c r="BA122" s="6" t="s">
        <v>1</v>
      </c>
      <c r="BB122" s="9">
        <f>SUM(BB109:BB115)</f>
        <v>34320565</v>
      </c>
      <c r="BC122" s="9">
        <f>SUM(BC109:BC115)</f>
        <v>31591381</v>
      </c>
      <c r="BD122" s="23" t="e">
        <f>AZ122*100/AP122-100</f>
        <v>#DIV/0!</v>
      </c>
      <c r="BE122" s="24" t="s">
        <v>1</v>
      </c>
      <c r="BF122" s="23" t="e">
        <f t="shared" si="129"/>
        <v>#VALUE!</v>
      </c>
      <c r="BG122" s="23">
        <f t="shared" si="129"/>
        <v>-11.023766374790995</v>
      </c>
      <c r="BH122" s="23"/>
      <c r="BI122" s="9">
        <f>SUM(BI109:BI115)</f>
        <v>431408</v>
      </c>
      <c r="BJ122" s="6" t="s">
        <v>1</v>
      </c>
      <c r="BK122" s="9">
        <f>SUM(BK109:BK115)</f>
        <v>56068683</v>
      </c>
      <c r="BL122" s="9">
        <f>SUM(BL109:BL115)</f>
        <v>50652400</v>
      </c>
      <c r="BM122" s="23" t="e">
        <f>BI122*100/AY122-100</f>
        <v>#DIV/0!</v>
      </c>
      <c r="BN122" s="24" t="s">
        <v>1</v>
      </c>
      <c r="BO122" s="23" t="e">
        <f t="shared" si="130"/>
        <v>#VALUE!</v>
      </c>
      <c r="BP122" s="23">
        <f t="shared" si="130"/>
        <v>47.58614842150763</v>
      </c>
      <c r="BQ122" s="23"/>
      <c r="BR122" s="9">
        <f>SUM(BR109:BR115)</f>
        <v>474325</v>
      </c>
      <c r="BS122" s="6" t="s">
        <v>1</v>
      </c>
      <c r="BT122" s="9">
        <f>SUM(BT109:BT115)</f>
        <v>38763087</v>
      </c>
      <c r="BU122" s="9">
        <f>SUM(BU109:BU115)</f>
        <v>35802992</v>
      </c>
      <c r="BV122" s="23" t="e">
        <f>BR122*100/BH122-100</f>
        <v>#DIV/0!</v>
      </c>
      <c r="BW122" s="24" t="s">
        <v>1</v>
      </c>
      <c r="BX122" s="23" t="e">
        <f t="shared" si="131"/>
        <v>#VALUE!</v>
      </c>
      <c r="BY122" s="23">
        <f t="shared" si="131"/>
        <v>-36.14440346315964</v>
      </c>
      <c r="BZ122" s="9">
        <f>SUM(BZ109:BZ115)</f>
        <v>420829</v>
      </c>
      <c r="CA122" s="6" t="s">
        <v>1</v>
      </c>
      <c r="CB122" s="9">
        <f>SUM(CB109:CB115)</f>
        <v>14403828</v>
      </c>
      <c r="CC122" s="9">
        <f>SUM(CC109:CC115)</f>
        <v>14133925</v>
      </c>
      <c r="CD122" s="23">
        <f>BZ122*100/BP122-100</f>
        <v>884251.8838137294</v>
      </c>
      <c r="CE122" s="24" t="s">
        <v>1</v>
      </c>
      <c r="CF122" s="23">
        <f t="shared" si="132"/>
        <v>2936.700152848785</v>
      </c>
      <c r="CG122" s="23" t="e">
        <f t="shared" si="132"/>
        <v>#VALUE!</v>
      </c>
    </row>
    <row r="123" spans="1:85" ht="12.75" thickBo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</row>
    <row r="124" spans="1:85" ht="12">
      <c r="A124" s="40" t="s">
        <v>139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</row>
    <row r="125" ht="12">
      <c r="A125" s="1" t="s">
        <v>116</v>
      </c>
    </row>
    <row r="126" ht="12">
      <c r="A126" s="1" t="s">
        <v>125</v>
      </c>
    </row>
    <row r="127" ht="12">
      <c r="A127" s="1" t="s">
        <v>117</v>
      </c>
    </row>
    <row r="128" ht="12">
      <c r="A128" s="1" t="s">
        <v>118</v>
      </c>
    </row>
    <row r="129" ht="12">
      <c r="A129" s="1" t="s">
        <v>119</v>
      </c>
    </row>
    <row r="130" ht="12">
      <c r="A130" s="1" t="s">
        <v>120</v>
      </c>
    </row>
    <row r="131" ht="12">
      <c r="A131" s="1" t="s">
        <v>121</v>
      </c>
    </row>
    <row r="132" ht="12">
      <c r="A132" s="1" t="s">
        <v>126</v>
      </c>
    </row>
    <row r="133" ht="12">
      <c r="A133" s="1" t="s">
        <v>127</v>
      </c>
    </row>
    <row r="134" ht="12">
      <c r="A134" s="1" t="s">
        <v>128</v>
      </c>
    </row>
    <row r="135" ht="12">
      <c r="A135" s="1" t="s">
        <v>129</v>
      </c>
    </row>
    <row r="137" ht="12">
      <c r="A137" s="3" t="s">
        <v>130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Federico Pasqualini</cp:lastModifiedBy>
  <dcterms:created xsi:type="dcterms:W3CDTF">2006-04-10T12:32:37Z</dcterms:created>
  <dcterms:modified xsi:type="dcterms:W3CDTF">2017-01-11T11:11:51Z</dcterms:modified>
  <cp:category/>
  <cp:version/>
  <cp:contentType/>
  <cp:contentStatus/>
</cp:coreProperties>
</file>